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xcodina\AppData\Local\Microsoft\Windows\INetCache\Content.Outlook\MCUG9H42\"/>
    </mc:Choice>
  </mc:AlternateContent>
  <xr:revisionPtr revIDLastSave="0" documentId="13_ncr:1_{FC333A23-359B-442A-84FD-095BBD8425E6}" xr6:coauthVersionLast="47" xr6:coauthVersionMax="47" xr10:uidLastSave="{00000000-0000-0000-0000-000000000000}"/>
  <workbookProtection workbookAlgorithmName="SHA-512" workbookHashValue="GIadGmnUCzIo5HkIHD+j4JyVDIR+MupsMKG+msZmF4r7l4pBlnaCfMBycfbQONbdiiyrJpK5FeudhRs4KBDaoQ==" workbookSaltValue="5TlwnV0pqu4iSTTSd4rDNQ==" workbookSpinCount="100000" lockStructure="1"/>
  <bookViews>
    <workbookView xWindow="28690" yWindow="-110" windowWidth="29020" windowHeight="15820" tabRatio="660" firstSheet="4" activeTab="4" xr2:uid="{1AD6D339-2980-430F-8F82-325F95D98EAD}"/>
  </bookViews>
  <sheets>
    <sheet name="Veh_km_IDOM" sheetId="1" state="hidden" r:id="rId1"/>
    <sheet name="SIMMB" sheetId="3" state="hidden" r:id="rId2"/>
    <sheet name="Urbans_cotxe_moto_taxi_SIMMB" sheetId="5" state="hidden" r:id="rId3"/>
    <sheet name="1b.In_XUrbana" sheetId="7" state="hidden" r:id="rId4"/>
    <sheet name="Entrada de dades" sheetId="8" r:id="rId5"/>
    <sheet name="Resultats" sheetId="16" r:id="rId6"/>
    <sheet name="Emissions" sheetId="12" state="hidden" r:id="rId7"/>
    <sheet name="Veh·km" sheetId="10" state="hidden" r:id="rId8"/>
    <sheet name="Municipis" sheetId="14" state="hidden" r:id="rId9"/>
    <sheet name="Superfície ZBE" sheetId="9" state="hidden" r:id="rId10"/>
    <sheet name="Exempcions" sheetId="11" state="hidden" r:id="rId11"/>
  </sheets>
  <externalReferences>
    <externalReference r:id="rId1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6" l="1"/>
  <c r="R11" i="10"/>
  <c r="B33" i="16" l="1"/>
  <c r="B28" i="16" s="1"/>
  <c r="B22" i="16"/>
  <c r="C22" i="16" s="1"/>
  <c r="BT238" i="10"/>
  <c r="BS238" i="10"/>
  <c r="BT237" i="10"/>
  <c r="BS237" i="10"/>
  <c r="BT236" i="10"/>
  <c r="BS236" i="10"/>
  <c r="BT235" i="10"/>
  <c r="BS235" i="10"/>
  <c r="BT234" i="10"/>
  <c r="BS234" i="10"/>
  <c r="BS225" i="10"/>
  <c r="BS224" i="10"/>
  <c r="BS223" i="10"/>
  <c r="BU241" i="10"/>
  <c r="BU240" i="10"/>
  <c r="BU239" i="10"/>
  <c r="B35" i="8"/>
  <c r="B30" i="8" s="1"/>
  <c r="BU234" i="10" l="1"/>
  <c r="BU238" i="10"/>
  <c r="BU237" i="10"/>
  <c r="BU236" i="10"/>
  <c r="BU235" i="10"/>
  <c r="BS227" i="10"/>
  <c r="BT227" i="10"/>
  <c r="BS226" i="10"/>
  <c r="BT226" i="10"/>
  <c r="BT225" i="10"/>
  <c r="BT224" i="10"/>
  <c r="BT223" i="10"/>
  <c r="BS215" i="10"/>
  <c r="BT215" i="10"/>
  <c r="BS214" i="10"/>
  <c r="BT214" i="10"/>
  <c r="BS213" i="10"/>
  <c r="BT213" i="10"/>
  <c r="BS212" i="10"/>
  <c r="BT212" i="10"/>
  <c r="BS211" i="10"/>
  <c r="BT211" i="10"/>
  <c r="BU217" i="10"/>
  <c r="BU218" i="10"/>
  <c r="BU228" i="10"/>
  <c r="BU229" i="10"/>
  <c r="BU230" i="10"/>
  <c r="B21" i="8"/>
  <c r="C21" i="8" s="1"/>
  <c r="F3" i="9"/>
  <c r="G3" i="9" s="1"/>
  <c r="F4" i="9"/>
  <c r="F5" i="9"/>
  <c r="F6" i="9"/>
  <c r="G6" i="9" s="1"/>
  <c r="F7" i="9"/>
  <c r="F8" i="9"/>
  <c r="F9" i="9"/>
  <c r="F10" i="9"/>
  <c r="F11" i="9"/>
  <c r="G11" i="9" s="1"/>
  <c r="F12" i="9"/>
  <c r="F2" i="9"/>
  <c r="Q2" i="10"/>
  <c r="W2" i="10" s="1"/>
  <c r="AC2" i="10" s="1"/>
  <c r="AI2" i="10" s="1"/>
  <c r="AO2" i="10" s="1"/>
  <c r="AU2" i="10" s="1"/>
  <c r="BA2" i="10" s="1"/>
  <c r="BG2" i="10" s="1"/>
  <c r="BM2" i="10" s="1"/>
  <c r="M2" i="10"/>
  <c r="S2" i="10" s="1"/>
  <c r="Y2" i="10" s="1"/>
  <c r="AE2" i="10" s="1"/>
  <c r="AK2" i="10" s="1"/>
  <c r="AQ2" i="10" s="1"/>
  <c r="AW2" i="10" s="1"/>
  <c r="BC2" i="10" s="1"/>
  <c r="BI2" i="10" s="1"/>
  <c r="N2" i="10"/>
  <c r="T2" i="10" s="1"/>
  <c r="Z2" i="10" s="1"/>
  <c r="AF2" i="10" s="1"/>
  <c r="AL2" i="10" s="1"/>
  <c r="AR2" i="10" s="1"/>
  <c r="AX2" i="10" s="1"/>
  <c r="BD2" i="10" s="1"/>
  <c r="BJ2" i="10" s="1"/>
  <c r="O2" i="10"/>
  <c r="U2" i="10" s="1"/>
  <c r="AA2" i="10" s="1"/>
  <c r="AG2" i="10" s="1"/>
  <c r="AM2" i="10" s="1"/>
  <c r="AS2" i="10" s="1"/>
  <c r="AY2" i="10" s="1"/>
  <c r="BE2" i="10" s="1"/>
  <c r="BK2" i="10" s="1"/>
  <c r="P2" i="10"/>
  <c r="V2" i="10" s="1"/>
  <c r="AB2" i="10" s="1"/>
  <c r="AH2" i="10" s="1"/>
  <c r="AN2" i="10" s="1"/>
  <c r="AT2" i="10" s="1"/>
  <c r="AZ2" i="10" s="1"/>
  <c r="BF2" i="10" s="1"/>
  <c r="BL2" i="10" s="1"/>
  <c r="L2" i="10"/>
  <c r="R2" i="10" s="1"/>
  <c r="X2" i="10" s="1"/>
  <c r="K3" i="7"/>
  <c r="N3" i="10" s="1"/>
  <c r="BU214" i="10" l="1"/>
  <c r="BU213" i="10"/>
  <c r="AD2" i="10"/>
  <c r="AJ2" i="10" s="1"/>
  <c r="AP2" i="10" s="1"/>
  <c r="AV2" i="10" s="1"/>
  <c r="BB2" i="10" s="1"/>
  <c r="BH2" i="10" s="1"/>
  <c r="BU227" i="10"/>
  <c r="BU224" i="10"/>
  <c r="BU226" i="10"/>
  <c r="BU212" i="10"/>
  <c r="BU225" i="10"/>
  <c r="BU223" i="10"/>
  <c r="BU215" i="10"/>
  <c r="BU211" i="10"/>
  <c r="H4" i="9"/>
  <c r="H11" i="9"/>
  <c r="I11" i="9" s="1"/>
  <c r="H5" i="9"/>
  <c r="G5" i="9"/>
  <c r="H8" i="9"/>
  <c r="H2" i="9"/>
  <c r="H7" i="9"/>
  <c r="G9" i="9"/>
  <c r="G8" i="9"/>
  <c r="G2" i="9"/>
  <c r="H12" i="9"/>
  <c r="H6" i="9"/>
  <c r="I6" i="9" s="1"/>
  <c r="G7" i="9"/>
  <c r="H10" i="9"/>
  <c r="H9" i="9"/>
  <c r="H3" i="9"/>
  <c r="I3" i="9" s="1"/>
  <c r="G10" i="9"/>
  <c r="G12" i="9"/>
  <c r="G4" i="9"/>
  <c r="F167" i="7"/>
  <c r="F166" i="7"/>
  <c r="F165" i="7"/>
  <c r="L165" i="7" s="1"/>
  <c r="F164" i="7"/>
  <c r="F163" i="7"/>
  <c r="F162" i="7"/>
  <c r="F161" i="7"/>
  <c r="F160" i="7"/>
  <c r="F159" i="7"/>
  <c r="F158" i="7"/>
  <c r="F157" i="7"/>
  <c r="F156" i="7"/>
  <c r="F155" i="7"/>
  <c r="F154" i="7"/>
  <c r="F153" i="7"/>
  <c r="F152" i="7"/>
  <c r="F151" i="7"/>
  <c r="F150" i="7"/>
  <c r="F149" i="7"/>
  <c r="F148" i="7"/>
  <c r="F147" i="7"/>
  <c r="F146" i="7"/>
  <c r="F145" i="7"/>
  <c r="F144" i="7"/>
  <c r="F143" i="7"/>
  <c r="F142" i="7"/>
  <c r="F141" i="7"/>
  <c r="I141" i="7" s="1"/>
  <c r="Q141" i="7" s="1"/>
  <c r="F140" i="7"/>
  <c r="F139" i="7"/>
  <c r="F138" i="7"/>
  <c r="F137" i="7"/>
  <c r="F136" i="7"/>
  <c r="F135" i="7"/>
  <c r="F134" i="7"/>
  <c r="F133" i="7"/>
  <c r="I133" i="7" s="1"/>
  <c r="Q133" i="7" s="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I90" i="7" s="1"/>
  <c r="Q90" i="7" s="1"/>
  <c r="F89" i="7"/>
  <c r="F88" i="7"/>
  <c r="F87" i="7"/>
  <c r="F86" i="7"/>
  <c r="F85" i="7"/>
  <c r="F84" i="7"/>
  <c r="F83" i="7"/>
  <c r="F82" i="7"/>
  <c r="F81" i="7"/>
  <c r="F80" i="7"/>
  <c r="F79" i="7"/>
  <c r="F78" i="7"/>
  <c r="J78" i="7" s="1"/>
  <c r="F77" i="7"/>
  <c r="F76" i="7"/>
  <c r="F75" i="7"/>
  <c r="F74" i="7"/>
  <c r="F73" i="7"/>
  <c r="F72" i="7"/>
  <c r="F71" i="7"/>
  <c r="F70" i="7"/>
  <c r="M70" i="7" s="1"/>
  <c r="F69" i="7"/>
  <c r="F68" i="7"/>
  <c r="F67" i="7"/>
  <c r="F66" i="7"/>
  <c r="F65" i="7"/>
  <c r="F64" i="7"/>
  <c r="F63" i="7"/>
  <c r="F62" i="7"/>
  <c r="F61" i="7"/>
  <c r="F60" i="7"/>
  <c r="F59" i="7"/>
  <c r="F58" i="7"/>
  <c r="M58" i="7" s="1"/>
  <c r="F57" i="7"/>
  <c r="F56" i="7"/>
  <c r="F55" i="7"/>
  <c r="F54" i="7"/>
  <c r="F53" i="7"/>
  <c r="F52" i="7"/>
  <c r="F51" i="7"/>
  <c r="F50" i="7"/>
  <c r="F49" i="7"/>
  <c r="F48" i="7"/>
  <c r="M48" i="7" s="1"/>
  <c r="F47" i="7"/>
  <c r="L47" i="7" s="1"/>
  <c r="F46" i="7"/>
  <c r="F45" i="7"/>
  <c r="F44" i="7"/>
  <c r="F43" i="7"/>
  <c r="F42" i="7"/>
  <c r="M42" i="7" s="1"/>
  <c r="F41" i="7"/>
  <c r="F40" i="7"/>
  <c r="F39" i="7"/>
  <c r="F38" i="7"/>
  <c r="F37" i="7"/>
  <c r="F36" i="7"/>
  <c r="F35" i="7"/>
  <c r="F34" i="7"/>
  <c r="F33" i="7"/>
  <c r="M33" i="7" s="1"/>
  <c r="F32" i="7"/>
  <c r="F31" i="7"/>
  <c r="F30" i="7"/>
  <c r="F29" i="7"/>
  <c r="F28" i="7"/>
  <c r="F27" i="7"/>
  <c r="F26" i="7"/>
  <c r="I26" i="7" s="1"/>
  <c r="Q26" i="7" s="1"/>
  <c r="F25" i="7"/>
  <c r="F24" i="7"/>
  <c r="F23" i="7"/>
  <c r="F22" i="7"/>
  <c r="F21" i="7"/>
  <c r="F20" i="7"/>
  <c r="L20" i="7" s="1"/>
  <c r="F19" i="7"/>
  <c r="F18" i="7"/>
  <c r="F17" i="7"/>
  <c r="F16" i="7"/>
  <c r="F15" i="7"/>
  <c r="I15" i="7" s="1"/>
  <c r="Q15" i="7" s="1"/>
  <c r="F14" i="7"/>
  <c r="F13" i="7"/>
  <c r="F12" i="7"/>
  <c r="L12" i="7" s="1"/>
  <c r="F11" i="7"/>
  <c r="M11" i="7" s="1"/>
  <c r="F10" i="7"/>
  <c r="F9" i="7"/>
  <c r="F8" i="7"/>
  <c r="J8" i="7" s="1"/>
  <c r="F7" i="7"/>
  <c r="F6" i="7"/>
  <c r="F5" i="7"/>
  <c r="J5" i="7" s="1"/>
  <c r="F4" i="7"/>
  <c r="N3" i="7"/>
  <c r="Q3" i="10" s="1"/>
  <c r="M3" i="7"/>
  <c r="L3" i="7"/>
  <c r="J3" i="7"/>
  <c r="M3" i="10" s="1"/>
  <c r="I3" i="7"/>
  <c r="L3" i="10" s="1"/>
  <c r="Z34" i="10" l="1"/>
  <c r="T34" i="10"/>
  <c r="Z65" i="10"/>
  <c r="T65" i="10"/>
  <c r="Z30" i="10"/>
  <c r="T30" i="10"/>
  <c r="Z60" i="10"/>
  <c r="T60" i="10"/>
  <c r="Z35" i="10"/>
  <c r="T35" i="10"/>
  <c r="Z39" i="10"/>
  <c r="T39" i="10"/>
  <c r="Z67" i="10"/>
  <c r="T67" i="10"/>
  <c r="Z23" i="10"/>
  <c r="T23" i="10"/>
  <c r="Z20" i="10"/>
  <c r="T20" i="10"/>
  <c r="Z26" i="10"/>
  <c r="T26" i="10"/>
  <c r="T64" i="10"/>
  <c r="Z64" i="10"/>
  <c r="Z19" i="10"/>
  <c r="T19" i="10"/>
  <c r="Z25" i="10"/>
  <c r="T25" i="10"/>
  <c r="Z38" i="10"/>
  <c r="T38" i="10"/>
  <c r="Z55" i="10"/>
  <c r="T55" i="10"/>
  <c r="Z9" i="10"/>
  <c r="T9" i="10"/>
  <c r="Z32" i="10"/>
  <c r="T32" i="10"/>
  <c r="Z45" i="10"/>
  <c r="T45" i="10"/>
  <c r="Z58" i="10"/>
  <c r="T58" i="10"/>
  <c r="Z40" i="10"/>
  <c r="T40" i="10"/>
  <c r="Z52" i="10"/>
  <c r="T52" i="10"/>
  <c r="Z56" i="10"/>
  <c r="T56" i="10"/>
  <c r="Z21" i="10"/>
  <c r="T21" i="10"/>
  <c r="Z66" i="10"/>
  <c r="T66" i="10"/>
  <c r="Z16" i="10"/>
  <c r="T16" i="10"/>
  <c r="Z24" i="10"/>
  <c r="T24" i="10"/>
  <c r="Z63" i="10"/>
  <c r="T63" i="10"/>
  <c r="Z27" i="10"/>
  <c r="T27" i="10"/>
  <c r="Z6" i="10"/>
  <c r="T6" i="10"/>
  <c r="Z33" i="10"/>
  <c r="T33" i="10"/>
  <c r="Z53" i="10"/>
  <c r="T53" i="10"/>
  <c r="Z28" i="10"/>
  <c r="T28" i="10"/>
  <c r="Z54" i="10"/>
  <c r="T54" i="10"/>
  <c r="Z51" i="10"/>
  <c r="T51" i="10"/>
  <c r="Z29" i="10"/>
  <c r="T29" i="10"/>
  <c r="Z14" i="10"/>
  <c r="T14" i="10"/>
  <c r="Z7" i="10"/>
  <c r="T7" i="10"/>
  <c r="Z5" i="10"/>
  <c r="T5" i="10"/>
  <c r="Z22" i="10"/>
  <c r="T22" i="10"/>
  <c r="Z62" i="10"/>
  <c r="T62" i="10"/>
  <c r="Z18" i="10"/>
  <c r="T18" i="10"/>
  <c r="Z48" i="10"/>
  <c r="T48" i="10"/>
  <c r="Z49" i="10"/>
  <c r="T49" i="10"/>
  <c r="Z59" i="10"/>
  <c r="T59" i="10"/>
  <c r="Z46" i="10"/>
  <c r="T46" i="10"/>
  <c r="Z10" i="10"/>
  <c r="T10" i="10"/>
  <c r="Z17" i="10"/>
  <c r="T17" i="10"/>
  <c r="Z42" i="10"/>
  <c r="T42" i="10"/>
  <c r="T50" i="10"/>
  <c r="Z50" i="10"/>
  <c r="Z15" i="10"/>
  <c r="T15" i="10"/>
  <c r="Z11" i="10"/>
  <c r="T11" i="10"/>
  <c r="Z57" i="10"/>
  <c r="T57" i="10"/>
  <c r="Z36" i="10"/>
  <c r="T36" i="10"/>
  <c r="Z31" i="10"/>
  <c r="T31" i="10"/>
  <c r="Z8" i="10"/>
  <c r="T8" i="10"/>
  <c r="Z41" i="10"/>
  <c r="T41" i="10"/>
  <c r="Z13" i="10"/>
  <c r="T13" i="10"/>
  <c r="Z47" i="10"/>
  <c r="T47" i="10"/>
  <c r="Z44" i="10"/>
  <c r="T44" i="10"/>
  <c r="Z43" i="10"/>
  <c r="T43" i="10"/>
  <c r="Z37" i="10"/>
  <c r="T37" i="10"/>
  <c r="Z12" i="10"/>
  <c r="T12" i="10"/>
  <c r="Z61" i="10"/>
  <c r="T61" i="10"/>
  <c r="J42" i="7"/>
  <c r="J43" i="7"/>
  <c r="L102" i="7"/>
  <c r="I118" i="7"/>
  <c r="Q118" i="7" s="1"/>
  <c r="I134" i="7"/>
  <c r="Q134" i="7" s="1"/>
  <c r="J158" i="7"/>
  <c r="L166" i="7"/>
  <c r="J13" i="7"/>
  <c r="I13" i="7"/>
  <c r="M22" i="7"/>
  <c r="J29" i="7"/>
  <c r="L37" i="7"/>
  <c r="J50" i="7"/>
  <c r="L65" i="7"/>
  <c r="L111" i="7"/>
  <c r="L142" i="7"/>
  <c r="O3" i="10"/>
  <c r="L23" i="7"/>
  <c r="M45" i="7"/>
  <c r="J104" i="7"/>
  <c r="M99" i="7"/>
  <c r="P3" i="10"/>
  <c r="M16" i="7"/>
  <c r="I31" i="7"/>
  <c r="Q31" i="7" s="1"/>
  <c r="J45" i="7"/>
  <c r="I75" i="7"/>
  <c r="Q75" i="7" s="1"/>
  <c r="J10" i="7"/>
  <c r="M46" i="7"/>
  <c r="M53" i="7"/>
  <c r="M83" i="7"/>
  <c r="I4" i="9"/>
  <c r="I5" i="9"/>
  <c r="I2" i="9"/>
  <c r="I10" i="9"/>
  <c r="I8" i="9"/>
  <c r="I9" i="9"/>
  <c r="I12" i="9"/>
  <c r="I7" i="9"/>
  <c r="J136" i="7"/>
  <c r="K39" i="7"/>
  <c r="L4" i="7"/>
  <c r="J18" i="7"/>
  <c r="M21" i="7"/>
  <c r="I25" i="7"/>
  <c r="Q25" i="7" s="1"/>
  <c r="L29" i="7"/>
  <c r="I32" i="7"/>
  <c r="Q32" i="7" s="1"/>
  <c r="L36" i="7"/>
  <c r="L52" i="7"/>
  <c r="I62" i="7"/>
  <c r="Q62" i="7" s="1"/>
  <c r="I67" i="7"/>
  <c r="Q67" i="7" s="1"/>
  <c r="M72" i="7"/>
  <c r="L129" i="7"/>
  <c r="I148" i="7"/>
  <c r="Q148" i="7" s="1"/>
  <c r="M9" i="7"/>
  <c r="I12" i="7"/>
  <c r="Q12" i="7" s="1"/>
  <c r="L15" i="7"/>
  <c r="K19" i="7"/>
  <c r="J26" i="7"/>
  <c r="M29" i="7"/>
  <c r="I163" i="7"/>
  <c r="Q163" i="7" s="1"/>
  <c r="M5" i="7"/>
  <c r="I9" i="7"/>
  <c r="Q9" i="7" s="1"/>
  <c r="I23" i="7"/>
  <c r="Q23" i="7" s="1"/>
  <c r="L26" i="7"/>
  <c r="M30" i="7"/>
  <c r="I33" i="7"/>
  <c r="Q33" i="7" s="1"/>
  <c r="L38" i="7"/>
  <c r="J49" i="7"/>
  <c r="L59" i="7"/>
  <c r="L64" i="7"/>
  <c r="I74" i="7"/>
  <c r="Q74" i="7" s="1"/>
  <c r="L86" i="7"/>
  <c r="L144" i="7"/>
  <c r="M104" i="7"/>
  <c r="I20" i="7"/>
  <c r="Q20" i="7" s="1"/>
  <c r="J38" i="7"/>
  <c r="I46" i="7"/>
  <c r="Q46" i="7" s="1"/>
  <c r="L32" i="7"/>
  <c r="N25" i="7"/>
  <c r="M17" i="7"/>
  <c r="L34" i="7"/>
  <c r="L82" i="7"/>
  <c r="J120" i="7"/>
  <c r="L127" i="7"/>
  <c r="L85" i="7"/>
  <c r="I165" i="7"/>
  <c r="Q165" i="7" s="1"/>
  <c r="K4" i="7"/>
  <c r="I7" i="7"/>
  <c r="Q7" i="7" s="1"/>
  <c r="L10" i="7"/>
  <c r="M13" i="7"/>
  <c r="I17" i="7"/>
  <c r="Q17" i="7" s="1"/>
  <c r="L21" i="7"/>
  <c r="M24" i="7"/>
  <c r="I28" i="7"/>
  <c r="Q28" i="7" s="1"/>
  <c r="L31" i="7"/>
  <c r="I44" i="7"/>
  <c r="Q44" i="7" s="1"/>
  <c r="I56" i="7"/>
  <c r="Q56" i="7" s="1"/>
  <c r="J61" i="7"/>
  <c r="L71" i="7"/>
  <c r="J88" i="7"/>
  <c r="L18" i="7"/>
  <c r="L98" i="7"/>
  <c r="I4" i="7"/>
  <c r="Q4" i="7" s="1"/>
  <c r="L7" i="7"/>
  <c r="K14" i="7"/>
  <c r="I18" i="7"/>
  <c r="Q18" i="7" s="1"/>
  <c r="J21" i="7"/>
  <c r="L25" i="7"/>
  <c r="L28" i="7"/>
  <c r="M32" i="7"/>
  <c r="I36" i="7"/>
  <c r="Q36" i="7" s="1"/>
  <c r="M44" i="7"/>
  <c r="K30" i="7"/>
  <c r="N33" i="7"/>
  <c r="N45" i="7"/>
  <c r="N162" i="7"/>
  <c r="N7" i="7"/>
  <c r="K9" i="7"/>
  <c r="K12" i="7"/>
  <c r="K28" i="7"/>
  <c r="N30" i="7"/>
  <c r="N6" i="7"/>
  <c r="M14" i="7"/>
  <c r="L14" i="7"/>
  <c r="J14" i="7"/>
  <c r="I14" i="7"/>
  <c r="Q14" i="7" s="1"/>
  <c r="J19" i="7"/>
  <c r="I19" i="7"/>
  <c r="Q19" i="7" s="1"/>
  <c r="N19" i="7"/>
  <c r="L19" i="7"/>
  <c r="K27" i="7"/>
  <c r="N4" i="7"/>
  <c r="N9" i="7"/>
  <c r="N14" i="7"/>
  <c r="M19" i="7"/>
  <c r="K22" i="7"/>
  <c r="N10" i="7"/>
  <c r="N15" i="7"/>
  <c r="K17" i="7"/>
  <c r="K20" i="7"/>
  <c r="N22" i="7"/>
  <c r="K69" i="7"/>
  <c r="N143" i="7"/>
  <c r="N155" i="7"/>
  <c r="N153" i="7"/>
  <c r="N138" i="7"/>
  <c r="N136" i="7"/>
  <c r="N120" i="7"/>
  <c r="N104" i="7"/>
  <c r="N88" i="7"/>
  <c r="N72" i="7"/>
  <c r="N67" i="7"/>
  <c r="N144" i="7"/>
  <c r="N127" i="7"/>
  <c r="N111" i="7"/>
  <c r="N95" i="7"/>
  <c r="N79" i="7"/>
  <c r="N68" i="7"/>
  <c r="N64" i="7"/>
  <c r="N59" i="7"/>
  <c r="N159" i="7"/>
  <c r="N50" i="7"/>
  <c r="N128" i="7"/>
  <c r="N87" i="7"/>
  <c r="N160" i="7"/>
  <c r="N154" i="7"/>
  <c r="N151" i="7"/>
  <c r="N137" i="7"/>
  <c r="N122" i="7"/>
  <c r="N107" i="7"/>
  <c r="N92" i="7"/>
  <c r="N80" i="7"/>
  <c r="N56" i="7"/>
  <c r="N34" i="7"/>
  <c r="N112" i="7"/>
  <c r="N38" i="7"/>
  <c r="N119" i="7"/>
  <c r="N74" i="7"/>
  <c r="N66" i="7"/>
  <c r="N61" i="7"/>
  <c r="N124" i="7"/>
  <c r="N63" i="7"/>
  <c r="N139" i="7"/>
  <c r="N106" i="7"/>
  <c r="N91" i="7"/>
  <c r="N76" i="7"/>
  <c r="N26" i="7"/>
  <c r="N18" i="7"/>
  <c r="N152" i="7"/>
  <c r="N145" i="7"/>
  <c r="N96" i="7"/>
  <c r="N57" i="7"/>
  <c r="N20" i="7"/>
  <c r="N103" i="7"/>
  <c r="N42" i="7"/>
  <c r="N123" i="7"/>
  <c r="N108" i="7"/>
  <c r="N39" i="7"/>
  <c r="N28" i="7"/>
  <c r="N135" i="7"/>
  <c r="N90" i="7"/>
  <c r="N75" i="7"/>
  <c r="N46" i="7"/>
  <c r="N29" i="7"/>
  <c r="N21" i="7"/>
  <c r="N13" i="7"/>
  <c r="N5" i="7"/>
  <c r="N167" i="7"/>
  <c r="N8" i="7"/>
  <c r="L8" i="7"/>
  <c r="K8" i="7"/>
  <c r="I8" i="7"/>
  <c r="Q8" i="7" s="1"/>
  <c r="N12" i="7"/>
  <c r="N17" i="7"/>
  <c r="N23" i="7"/>
  <c r="M35" i="7"/>
  <c r="I35" i="7"/>
  <c r="Q35" i="7" s="1"/>
  <c r="N35" i="7"/>
  <c r="K35" i="7"/>
  <c r="L35" i="7"/>
  <c r="J35" i="7"/>
  <c r="N43" i="7"/>
  <c r="N49" i="7"/>
  <c r="M6" i="7"/>
  <c r="L6" i="7"/>
  <c r="J6" i="7"/>
  <c r="I6" i="7"/>
  <c r="Q6" i="7" s="1"/>
  <c r="J11" i="7"/>
  <c r="I11" i="7"/>
  <c r="Q11" i="7" s="1"/>
  <c r="N11" i="7"/>
  <c r="L11" i="7"/>
  <c r="K41" i="7"/>
  <c r="N41" i="7"/>
  <c r="M41" i="7"/>
  <c r="J41" i="7"/>
  <c r="L41" i="7"/>
  <c r="I41" i="7"/>
  <c r="Q41" i="7" s="1"/>
  <c r="K152" i="7"/>
  <c r="K142" i="7"/>
  <c r="K128" i="7"/>
  <c r="K112" i="7"/>
  <c r="K96" i="7"/>
  <c r="K80" i="7"/>
  <c r="K56" i="7"/>
  <c r="K157" i="7"/>
  <c r="K140" i="7"/>
  <c r="K125" i="7"/>
  <c r="K109" i="7"/>
  <c r="K93" i="7"/>
  <c r="K77" i="7"/>
  <c r="K70" i="7"/>
  <c r="K61" i="7"/>
  <c r="K143" i="7"/>
  <c r="K129" i="7"/>
  <c r="K113" i="7"/>
  <c r="K97" i="7"/>
  <c r="K81" i="7"/>
  <c r="K158" i="7"/>
  <c r="K136" i="7"/>
  <c r="K120" i="7"/>
  <c r="K104" i="7"/>
  <c r="K88" i="7"/>
  <c r="K72" i="7"/>
  <c r="K166" i="7"/>
  <c r="K144" i="7"/>
  <c r="K127" i="7"/>
  <c r="K124" i="7"/>
  <c r="K111" i="7"/>
  <c r="K95" i="7"/>
  <c r="K79" i="7"/>
  <c r="K64" i="7"/>
  <c r="K167" i="7"/>
  <c r="K87" i="7"/>
  <c r="K46" i="7"/>
  <c r="K116" i="7"/>
  <c r="K89" i="7"/>
  <c r="K66" i="7"/>
  <c r="K40" i="7"/>
  <c r="K160" i="7"/>
  <c r="K151" i="7"/>
  <c r="K29" i="7"/>
  <c r="K21" i="7"/>
  <c r="K13" i="7"/>
  <c r="K5" i="7"/>
  <c r="K119" i="7"/>
  <c r="K101" i="7"/>
  <c r="K34" i="7"/>
  <c r="K156" i="7"/>
  <c r="K150" i="7"/>
  <c r="K68" i="7"/>
  <c r="K63" i="7"/>
  <c r="K31" i="7"/>
  <c r="K149" i="7"/>
  <c r="K100" i="7"/>
  <c r="K73" i="7"/>
  <c r="K25" i="7"/>
  <c r="K159" i="7"/>
  <c r="K133" i="7"/>
  <c r="K121" i="7"/>
  <c r="K50" i="7"/>
  <c r="K38" i="7"/>
  <c r="K103" i="7"/>
  <c r="K85" i="7"/>
  <c r="K60" i="7"/>
  <c r="K55" i="7"/>
  <c r="K141" i="7"/>
  <c r="K57" i="7"/>
  <c r="K42" i="7"/>
  <c r="K32" i="7"/>
  <c r="K26" i="7"/>
  <c r="K18" i="7"/>
  <c r="K135" i="7"/>
  <c r="K132" i="7"/>
  <c r="K117" i="7"/>
  <c r="K105" i="7"/>
  <c r="K54" i="7"/>
  <c r="K48" i="7"/>
  <c r="M8" i="7"/>
  <c r="N16" i="7"/>
  <c r="L16" i="7"/>
  <c r="K16" i="7"/>
  <c r="I16" i="7"/>
  <c r="Q16" i="7" s="1"/>
  <c r="K6" i="7"/>
  <c r="K11" i="7"/>
  <c r="J16" i="7"/>
  <c r="N24" i="7"/>
  <c r="L24" i="7"/>
  <c r="J24" i="7"/>
  <c r="K24" i="7"/>
  <c r="I24" i="7"/>
  <c r="Q24" i="7" s="1"/>
  <c r="J27" i="7"/>
  <c r="I27" i="7"/>
  <c r="Q27" i="7" s="1"/>
  <c r="M27" i="7"/>
  <c r="N27" i="7"/>
  <c r="L27" i="7"/>
  <c r="K51" i="7"/>
  <c r="N147" i="7"/>
  <c r="N52" i="7"/>
  <c r="K108" i="7"/>
  <c r="K114" i="7"/>
  <c r="J114" i="7"/>
  <c r="N114" i="7"/>
  <c r="M114" i="7"/>
  <c r="I114" i="7"/>
  <c r="Q114" i="7" s="1"/>
  <c r="N126" i="7"/>
  <c r="L126" i="7"/>
  <c r="K126" i="7"/>
  <c r="I126" i="7"/>
  <c r="Q126" i="7" s="1"/>
  <c r="M4" i="7"/>
  <c r="J9" i="7"/>
  <c r="K10" i="7"/>
  <c r="M12" i="7"/>
  <c r="J17" i="7"/>
  <c r="M20" i="7"/>
  <c r="J25" i="7"/>
  <c r="M28" i="7"/>
  <c r="M31" i="7"/>
  <c r="M36" i="7"/>
  <c r="I38" i="7"/>
  <c r="Q38" i="7" s="1"/>
  <c r="L39" i="7"/>
  <c r="N44" i="7"/>
  <c r="J44" i="7"/>
  <c r="L45" i="7"/>
  <c r="L48" i="7"/>
  <c r="L50" i="7"/>
  <c r="I52" i="7"/>
  <c r="Q52" i="7" s="1"/>
  <c r="J55" i="7"/>
  <c r="I55" i="7"/>
  <c r="Q55" i="7" s="1"/>
  <c r="N55" i="7"/>
  <c r="L55" i="7"/>
  <c r="L60" i="7"/>
  <c r="J60" i="7"/>
  <c r="I60" i="7"/>
  <c r="Q60" i="7" s="1"/>
  <c r="M60" i="7"/>
  <c r="L62" i="7"/>
  <c r="I65" i="7"/>
  <c r="Q65" i="7" s="1"/>
  <c r="K65" i="7"/>
  <c r="J65" i="7"/>
  <c r="M65" i="7"/>
  <c r="M67" i="7"/>
  <c r="J70" i="7"/>
  <c r="N73" i="7"/>
  <c r="M78" i="7"/>
  <c r="L81" i="7"/>
  <c r="I85" i="7"/>
  <c r="Q85" i="7" s="1"/>
  <c r="J93" i="7"/>
  <c r="L96" i="7"/>
  <c r="M100" i="7"/>
  <c r="L100" i="7"/>
  <c r="N100" i="7"/>
  <c r="J100" i="7"/>
  <c r="I100" i="7"/>
  <c r="Q100" i="7" s="1"/>
  <c r="M105" i="7"/>
  <c r="J108" i="7"/>
  <c r="J111" i="7"/>
  <c r="L114" i="7"/>
  <c r="M118" i="7"/>
  <c r="M120" i="7"/>
  <c r="I123" i="7"/>
  <c r="Q123" i="7" s="1"/>
  <c r="J126" i="7"/>
  <c r="L133" i="7"/>
  <c r="M138" i="7"/>
  <c r="K145" i="7"/>
  <c r="J145" i="7"/>
  <c r="I145" i="7"/>
  <c r="Q145" i="7" s="1"/>
  <c r="M145" i="7"/>
  <c r="L145" i="7"/>
  <c r="N149" i="7"/>
  <c r="M149" i="7"/>
  <c r="J149" i="7"/>
  <c r="I149" i="7"/>
  <c r="Q149" i="7" s="1"/>
  <c r="L149" i="7"/>
  <c r="L152" i="7"/>
  <c r="J155" i="7"/>
  <c r="M158" i="7"/>
  <c r="L161" i="7"/>
  <c r="K37" i="7"/>
  <c r="I47" i="7"/>
  <c r="Q47" i="7" s="1"/>
  <c r="N47" i="7"/>
  <c r="M47" i="7"/>
  <c r="K76" i="7"/>
  <c r="N94" i="7"/>
  <c r="L94" i="7"/>
  <c r="K94" i="7"/>
  <c r="I94" i="7"/>
  <c r="Q94" i="7" s="1"/>
  <c r="L115" i="7"/>
  <c r="K115" i="7"/>
  <c r="J115" i="7"/>
  <c r="I115" i="7"/>
  <c r="Q115" i="7" s="1"/>
  <c r="N115" i="7"/>
  <c r="I167" i="7"/>
  <c r="Q167" i="7" s="1"/>
  <c r="I159" i="7"/>
  <c r="Q159" i="7" s="1"/>
  <c r="I151" i="7"/>
  <c r="Q151" i="7" s="1"/>
  <c r="I143" i="7"/>
  <c r="Q143" i="7" s="1"/>
  <c r="I160" i="7"/>
  <c r="Q160" i="7" s="1"/>
  <c r="I152" i="7"/>
  <c r="Q152" i="7" s="1"/>
  <c r="I144" i="7"/>
  <c r="Q144" i="7" s="1"/>
  <c r="I136" i="7"/>
  <c r="Q136" i="7" s="1"/>
  <c r="I128" i="7"/>
  <c r="Q128" i="7" s="1"/>
  <c r="I120" i="7"/>
  <c r="Q120" i="7" s="1"/>
  <c r="I112" i="7"/>
  <c r="Q112" i="7" s="1"/>
  <c r="I104" i="7"/>
  <c r="Q104" i="7" s="1"/>
  <c r="I96" i="7"/>
  <c r="Q96" i="7" s="1"/>
  <c r="I88" i="7"/>
  <c r="Q88" i="7" s="1"/>
  <c r="I80" i="7"/>
  <c r="Q80" i="7" s="1"/>
  <c r="I166" i="7"/>
  <c r="Q166" i="7" s="1"/>
  <c r="I127" i="7"/>
  <c r="Q127" i="7" s="1"/>
  <c r="I111" i="7"/>
  <c r="Q111" i="7" s="1"/>
  <c r="I95" i="7"/>
  <c r="Q95" i="7" s="1"/>
  <c r="I79" i="7"/>
  <c r="Q79" i="7" s="1"/>
  <c r="I64" i="7"/>
  <c r="Q64" i="7" s="1"/>
  <c r="I157" i="7"/>
  <c r="Q157" i="7" s="1"/>
  <c r="I155" i="7"/>
  <c r="Q155" i="7" s="1"/>
  <c r="I140" i="7"/>
  <c r="Q140" i="7" s="1"/>
  <c r="I138" i="7"/>
  <c r="Q138" i="7" s="1"/>
  <c r="I125" i="7"/>
  <c r="Q125" i="7" s="1"/>
  <c r="I109" i="7"/>
  <c r="Q109" i="7" s="1"/>
  <c r="I93" i="7"/>
  <c r="Q93" i="7" s="1"/>
  <c r="I77" i="7"/>
  <c r="Q77" i="7" s="1"/>
  <c r="I70" i="7"/>
  <c r="Q70" i="7" s="1"/>
  <c r="I66" i="7"/>
  <c r="Q66" i="7" s="1"/>
  <c r="I61" i="7"/>
  <c r="Q61" i="7" s="1"/>
  <c r="I50" i="7"/>
  <c r="Q50" i="7" s="1"/>
  <c r="I150" i="7"/>
  <c r="Q150" i="7" s="1"/>
  <c r="I135" i="7"/>
  <c r="Q135" i="7" s="1"/>
  <c r="I119" i="7"/>
  <c r="Q119" i="7" s="1"/>
  <c r="I103" i="7"/>
  <c r="Q103" i="7" s="1"/>
  <c r="I87" i="7"/>
  <c r="Q87" i="7" s="1"/>
  <c r="I158" i="7"/>
  <c r="Q158" i="7" s="1"/>
  <c r="I72" i="7"/>
  <c r="Q72" i="7" s="1"/>
  <c r="J7" i="7"/>
  <c r="L9" i="7"/>
  <c r="M10" i="7"/>
  <c r="J15" i="7"/>
  <c r="L17" i="7"/>
  <c r="M18" i="7"/>
  <c r="I22" i="7"/>
  <c r="Q22" i="7" s="1"/>
  <c r="J23" i="7"/>
  <c r="M26" i="7"/>
  <c r="I30" i="7"/>
  <c r="Q30" i="7" s="1"/>
  <c r="J31" i="7"/>
  <c r="I34" i="7"/>
  <c r="Q34" i="7" s="1"/>
  <c r="I37" i="7"/>
  <c r="Q37" i="7" s="1"/>
  <c r="J40" i="7"/>
  <c r="N40" i="7"/>
  <c r="K44" i="7"/>
  <c r="J47" i="7"/>
  <c r="K49" i="7"/>
  <c r="N53" i="7"/>
  <c r="L53" i="7"/>
  <c r="K53" i="7"/>
  <c r="I53" i="7"/>
  <c r="Q53" i="7" s="1"/>
  <c r="M55" i="7"/>
  <c r="N60" i="7"/>
  <c r="I63" i="7"/>
  <c r="Q63" i="7" s="1"/>
  <c r="N65" i="7"/>
  <c r="I68" i="7"/>
  <c r="Q68" i="7" s="1"/>
  <c r="N71" i="7"/>
  <c r="M73" i="7"/>
  <c r="J76" i="7"/>
  <c r="J79" i="7"/>
  <c r="M86" i="7"/>
  <c r="M88" i="7"/>
  <c r="I91" i="7"/>
  <c r="Q91" i="7" s="1"/>
  <c r="J94" i="7"/>
  <c r="L101" i="7"/>
  <c r="I106" i="7"/>
  <c r="Q106" i="7" s="1"/>
  <c r="M115" i="7"/>
  <c r="L118" i="7"/>
  <c r="K130" i="7"/>
  <c r="J130" i="7"/>
  <c r="N130" i="7"/>
  <c r="M130" i="7"/>
  <c r="I130" i="7"/>
  <c r="Q130" i="7" s="1"/>
  <c r="I139" i="7"/>
  <c r="Q139" i="7" s="1"/>
  <c r="I142" i="7"/>
  <c r="Q142" i="7" s="1"/>
  <c r="N150" i="7"/>
  <c r="I156" i="7"/>
  <c r="Q156" i="7" s="1"/>
  <c r="K82" i="7"/>
  <c r="J82" i="7"/>
  <c r="N82" i="7"/>
  <c r="M82" i="7"/>
  <c r="I82" i="7"/>
  <c r="Q82" i="7" s="1"/>
  <c r="N121" i="7"/>
  <c r="M126" i="7"/>
  <c r="L162" i="7"/>
  <c r="K162" i="7"/>
  <c r="J162" i="7"/>
  <c r="M162" i="7"/>
  <c r="I162" i="7"/>
  <c r="Q162" i="7" s="1"/>
  <c r="J167" i="7"/>
  <c r="J160" i="7"/>
  <c r="J152" i="7"/>
  <c r="J144" i="7"/>
  <c r="J159" i="7"/>
  <c r="J142" i="7"/>
  <c r="J128" i="7"/>
  <c r="J112" i="7"/>
  <c r="J96" i="7"/>
  <c r="J80" i="7"/>
  <c r="J56" i="7"/>
  <c r="J150" i="7"/>
  <c r="J135" i="7"/>
  <c r="J119" i="7"/>
  <c r="J103" i="7"/>
  <c r="J87" i="7"/>
  <c r="J57" i="7"/>
  <c r="J143" i="7"/>
  <c r="J156" i="7"/>
  <c r="J151" i="7"/>
  <c r="J141" i="7"/>
  <c r="J139" i="7"/>
  <c r="J133" i="7"/>
  <c r="J117" i="7"/>
  <c r="J101" i="7"/>
  <c r="J85" i="7"/>
  <c r="J68" i="7"/>
  <c r="J63" i="7"/>
  <c r="J59" i="7"/>
  <c r="J54" i="7"/>
  <c r="I5" i="7"/>
  <c r="Q5" i="7" s="1"/>
  <c r="K7" i="7"/>
  <c r="Q13" i="7"/>
  <c r="K15" i="7"/>
  <c r="I21" i="7"/>
  <c r="Q21" i="7" s="1"/>
  <c r="J22" i="7"/>
  <c r="K23" i="7"/>
  <c r="M25" i="7"/>
  <c r="I29" i="7"/>
  <c r="Q29" i="7" s="1"/>
  <c r="J30" i="7"/>
  <c r="K33" i="7"/>
  <c r="J34" i="7"/>
  <c r="J37" i="7"/>
  <c r="M38" i="7"/>
  <c r="I40" i="7"/>
  <c r="Q40" i="7" s="1"/>
  <c r="M43" i="7"/>
  <c r="I43" i="7"/>
  <c r="Q43" i="7" s="1"/>
  <c r="L44" i="7"/>
  <c r="L46" i="7"/>
  <c r="K47" i="7"/>
  <c r="I49" i="7"/>
  <c r="Q49" i="7" s="1"/>
  <c r="M50" i="7"/>
  <c r="J53" i="7"/>
  <c r="I58" i="7"/>
  <c r="Q58" i="7" s="1"/>
  <c r="I71" i="7"/>
  <c r="Q71" i="7" s="1"/>
  <c r="L79" i="7"/>
  <c r="L83" i="7"/>
  <c r="K83" i="7"/>
  <c r="J83" i="7"/>
  <c r="I83" i="7"/>
  <c r="Q83" i="7" s="1"/>
  <c r="N83" i="7"/>
  <c r="I86" i="7"/>
  <c r="Q86" i="7" s="1"/>
  <c r="N89" i="7"/>
  <c r="M94" i="7"/>
  <c r="L97" i="7"/>
  <c r="I101" i="7"/>
  <c r="Q101" i="7" s="1"/>
  <c r="J109" i="7"/>
  <c r="L112" i="7"/>
  <c r="M116" i="7"/>
  <c r="L116" i="7"/>
  <c r="N116" i="7"/>
  <c r="J116" i="7"/>
  <c r="I116" i="7"/>
  <c r="Q116" i="7" s="1"/>
  <c r="M121" i="7"/>
  <c r="J124" i="7"/>
  <c r="J127" i="7"/>
  <c r="L130" i="7"/>
  <c r="M136" i="7"/>
  <c r="I146" i="7"/>
  <c r="Q146" i="7" s="1"/>
  <c r="M153" i="7"/>
  <c r="M159" i="7"/>
  <c r="J166" i="7"/>
  <c r="K92" i="7"/>
  <c r="N110" i="7"/>
  <c r="L110" i="7"/>
  <c r="K110" i="7"/>
  <c r="I110" i="7"/>
  <c r="Q110" i="7" s="1"/>
  <c r="L131" i="7"/>
  <c r="K131" i="7"/>
  <c r="J131" i="7"/>
  <c r="I131" i="7"/>
  <c r="Q131" i="7" s="1"/>
  <c r="N131" i="7"/>
  <c r="L167" i="7"/>
  <c r="L160" i="7"/>
  <c r="L150" i="7"/>
  <c r="L135" i="7"/>
  <c r="L119" i="7"/>
  <c r="L103" i="7"/>
  <c r="L87" i="7"/>
  <c r="L74" i="7"/>
  <c r="L66" i="7"/>
  <c r="L57" i="7"/>
  <c r="L158" i="7"/>
  <c r="L153" i="7"/>
  <c r="L136" i="7"/>
  <c r="L120" i="7"/>
  <c r="L104" i="7"/>
  <c r="L88" i="7"/>
  <c r="L72" i="7"/>
  <c r="L151" i="7"/>
  <c r="L63" i="7"/>
  <c r="L159" i="7"/>
  <c r="L121" i="7"/>
  <c r="L105" i="7"/>
  <c r="L89" i="7"/>
  <c r="L73" i="7"/>
  <c r="J4" i="7"/>
  <c r="M7" i="7"/>
  <c r="J12" i="7"/>
  <c r="M15" i="7"/>
  <c r="J20" i="7"/>
  <c r="L22" i="7"/>
  <c r="M23" i="7"/>
  <c r="J28" i="7"/>
  <c r="L30" i="7"/>
  <c r="N31" i="7"/>
  <c r="J33" i="7"/>
  <c r="M34" i="7"/>
  <c r="M37" i="7"/>
  <c r="I39" i="7"/>
  <c r="Q39" i="7" s="1"/>
  <c r="M39" i="7"/>
  <c r="L40" i="7"/>
  <c r="L42" i="7"/>
  <c r="K43" i="7"/>
  <c r="K45" i="7"/>
  <c r="J46" i="7"/>
  <c r="J48" i="7"/>
  <c r="N48" i="7"/>
  <c r="L49" i="7"/>
  <c r="L54" i="7"/>
  <c r="L56" i="7"/>
  <c r="J77" i="7"/>
  <c r="L80" i="7"/>
  <c r="M84" i="7"/>
  <c r="L84" i="7"/>
  <c r="N84" i="7"/>
  <c r="J84" i="7"/>
  <c r="I84" i="7"/>
  <c r="Q84" i="7" s="1"/>
  <c r="M89" i="7"/>
  <c r="J92" i="7"/>
  <c r="J95" i="7"/>
  <c r="M102" i="7"/>
  <c r="I107" i="7"/>
  <c r="Q107" i="7" s="1"/>
  <c r="J110" i="7"/>
  <c r="L117" i="7"/>
  <c r="I122" i="7"/>
  <c r="Q122" i="7" s="1"/>
  <c r="M131" i="7"/>
  <c r="L134" i="7"/>
  <c r="L137" i="7"/>
  <c r="J140" i="7"/>
  <c r="L143" i="7"/>
  <c r="I154" i="7"/>
  <c r="Q154" i="7" s="1"/>
  <c r="J157" i="7"/>
  <c r="N164" i="7"/>
  <c r="M164" i="7"/>
  <c r="L164" i="7"/>
  <c r="J164" i="7"/>
  <c r="I164" i="7"/>
  <c r="Q164" i="7" s="1"/>
  <c r="N36" i="7"/>
  <c r="J36" i="7"/>
  <c r="M51" i="7"/>
  <c r="L51" i="7"/>
  <c r="J51" i="7"/>
  <c r="I51" i="7"/>
  <c r="Q51" i="7" s="1"/>
  <c r="M69" i="7"/>
  <c r="J69" i="7"/>
  <c r="I69" i="7"/>
  <c r="Q69" i="7" s="1"/>
  <c r="L69" i="7"/>
  <c r="K98" i="7"/>
  <c r="J98" i="7"/>
  <c r="N98" i="7"/>
  <c r="M98" i="7"/>
  <c r="I98" i="7"/>
  <c r="Q98" i="7" s="1"/>
  <c r="M147" i="7"/>
  <c r="L147" i="7"/>
  <c r="K147" i="7"/>
  <c r="J147" i="7"/>
  <c r="I147" i="7"/>
  <c r="Q147" i="7" s="1"/>
  <c r="M167" i="7"/>
  <c r="M160" i="7"/>
  <c r="M150" i="7"/>
  <c r="M135" i="7"/>
  <c r="M119" i="7"/>
  <c r="M103" i="7"/>
  <c r="M87" i="7"/>
  <c r="M143" i="7"/>
  <c r="M129" i="7"/>
  <c r="M113" i="7"/>
  <c r="M97" i="7"/>
  <c r="M81" i="7"/>
  <c r="M71" i="7"/>
  <c r="M62" i="7"/>
  <c r="M151" i="7"/>
  <c r="M63" i="7"/>
  <c r="M54" i="7"/>
  <c r="M166" i="7"/>
  <c r="M144" i="7"/>
  <c r="M127" i="7"/>
  <c r="M111" i="7"/>
  <c r="M95" i="7"/>
  <c r="M79" i="7"/>
  <c r="M68" i="7"/>
  <c r="M64" i="7"/>
  <c r="M59" i="7"/>
  <c r="M154" i="7"/>
  <c r="M152" i="7"/>
  <c r="M142" i="7"/>
  <c r="M137" i="7"/>
  <c r="M134" i="7"/>
  <c r="M128" i="7"/>
  <c r="M112" i="7"/>
  <c r="M96" i="7"/>
  <c r="M80" i="7"/>
  <c r="M56" i="7"/>
  <c r="L5" i="7"/>
  <c r="I10" i="7"/>
  <c r="Q10" i="7" s="1"/>
  <c r="L13" i="7"/>
  <c r="J32" i="7"/>
  <c r="N32" i="7"/>
  <c r="L33" i="7"/>
  <c r="K36" i="7"/>
  <c r="N37" i="7"/>
  <c r="J39" i="7"/>
  <c r="M40" i="7"/>
  <c r="I42" i="7"/>
  <c r="Q42" i="7" s="1"/>
  <c r="L43" i="7"/>
  <c r="I45" i="7"/>
  <c r="Q45" i="7" s="1"/>
  <c r="I48" i="7"/>
  <c r="Q48" i="7" s="1"/>
  <c r="M49" i="7"/>
  <c r="N51" i="7"/>
  <c r="I54" i="7"/>
  <c r="Q54" i="7" s="1"/>
  <c r="I59" i="7"/>
  <c r="Q59" i="7" s="1"/>
  <c r="J64" i="7"/>
  <c r="N69" i="7"/>
  <c r="J72" i="7"/>
  <c r="N78" i="7"/>
  <c r="L78" i="7"/>
  <c r="K78" i="7"/>
  <c r="I78" i="7"/>
  <c r="Q78" i="7" s="1"/>
  <c r="K84" i="7"/>
  <c r="H84" i="7" s="1"/>
  <c r="P84" i="7" s="1"/>
  <c r="L95" i="7"/>
  <c r="L99" i="7"/>
  <c r="K99" i="7"/>
  <c r="J99" i="7"/>
  <c r="I99" i="7"/>
  <c r="Q99" i="7" s="1"/>
  <c r="N99" i="7"/>
  <c r="I102" i="7"/>
  <c r="Q102" i="7" s="1"/>
  <c r="N105" i="7"/>
  <c r="M110" i="7"/>
  <c r="L113" i="7"/>
  <c r="I117" i="7"/>
  <c r="Q117" i="7" s="1"/>
  <c r="J125" i="7"/>
  <c r="L128" i="7"/>
  <c r="M132" i="7"/>
  <c r="L132" i="7"/>
  <c r="N132" i="7"/>
  <c r="J132" i="7"/>
  <c r="I132" i="7"/>
  <c r="Q132" i="7" s="1"/>
  <c r="L141" i="7"/>
  <c r="N158" i="7"/>
  <c r="K164" i="7"/>
  <c r="J58" i="7"/>
  <c r="N62" i="7"/>
  <c r="K67" i="7"/>
  <c r="L75" i="7"/>
  <c r="K75" i="7"/>
  <c r="L91" i="7"/>
  <c r="K91" i="7"/>
  <c r="L107" i="7"/>
  <c r="K107" i="7"/>
  <c r="L123" i="7"/>
  <c r="K123" i="7"/>
  <c r="L146" i="7"/>
  <c r="K146" i="7"/>
  <c r="J146" i="7"/>
  <c r="N148" i="7"/>
  <c r="M148" i="7"/>
  <c r="L148" i="7"/>
  <c r="K161" i="7"/>
  <c r="J161" i="7"/>
  <c r="I161" i="7"/>
  <c r="Q161" i="7" s="1"/>
  <c r="M163" i="7"/>
  <c r="L163" i="7"/>
  <c r="K163" i="7"/>
  <c r="N165" i="7"/>
  <c r="M165" i="7"/>
  <c r="J52" i="7"/>
  <c r="I57" i="7"/>
  <c r="Q57" i="7" s="1"/>
  <c r="K58" i="7"/>
  <c r="M61" i="7"/>
  <c r="J62" i="7"/>
  <c r="J66" i="7"/>
  <c r="J67" i="7"/>
  <c r="N70" i="7"/>
  <c r="J71" i="7"/>
  <c r="J75" i="7"/>
  <c r="N77" i="7"/>
  <c r="M77" i="7"/>
  <c r="J81" i="7"/>
  <c r="I81" i="7"/>
  <c r="Q81" i="7" s="1"/>
  <c r="J91" i="7"/>
  <c r="N93" i="7"/>
  <c r="M93" i="7"/>
  <c r="J97" i="7"/>
  <c r="I97" i="7"/>
  <c r="Q97" i="7" s="1"/>
  <c r="J107" i="7"/>
  <c r="N109" i="7"/>
  <c r="M109" i="7"/>
  <c r="J113" i="7"/>
  <c r="I113" i="7"/>
  <c r="Q113" i="7" s="1"/>
  <c r="J123" i="7"/>
  <c r="N125" i="7"/>
  <c r="M125" i="7"/>
  <c r="J129" i="7"/>
  <c r="I129" i="7"/>
  <c r="Q129" i="7" s="1"/>
  <c r="L138" i="7"/>
  <c r="K138" i="7"/>
  <c r="J138" i="7"/>
  <c r="N140" i="7"/>
  <c r="M140" i="7"/>
  <c r="L140" i="7"/>
  <c r="M146" i="7"/>
  <c r="J148" i="7"/>
  <c r="K153" i="7"/>
  <c r="H153" i="7" s="1"/>
  <c r="P153" i="7" s="1"/>
  <c r="J153" i="7"/>
  <c r="I153" i="7"/>
  <c r="Q153" i="7" s="1"/>
  <c r="M155" i="7"/>
  <c r="L155" i="7"/>
  <c r="K155" i="7"/>
  <c r="N157" i="7"/>
  <c r="M157" i="7"/>
  <c r="M161" i="7"/>
  <c r="J163" i="7"/>
  <c r="J165" i="7"/>
  <c r="K52" i="7"/>
  <c r="L58" i="7"/>
  <c r="K62" i="7"/>
  <c r="L67" i="7"/>
  <c r="K71" i="7"/>
  <c r="H71" i="7" s="1"/>
  <c r="P71" i="7" s="1"/>
  <c r="K74" i="7"/>
  <c r="H74" i="7" s="1"/>
  <c r="P74" i="7" s="1"/>
  <c r="J74" i="7"/>
  <c r="M75" i="7"/>
  <c r="N86" i="7"/>
  <c r="K90" i="7"/>
  <c r="J90" i="7"/>
  <c r="M91" i="7"/>
  <c r="N102" i="7"/>
  <c r="K106" i="7"/>
  <c r="J106" i="7"/>
  <c r="M107" i="7"/>
  <c r="N118" i="7"/>
  <c r="K122" i="7"/>
  <c r="J122" i="7"/>
  <c r="M123" i="7"/>
  <c r="N134" i="7"/>
  <c r="N142" i="7"/>
  <c r="N146" i="7"/>
  <c r="K148" i="7"/>
  <c r="N161" i="7"/>
  <c r="N163" i="7"/>
  <c r="K165" i="7"/>
  <c r="M52" i="7"/>
  <c r="N58" i="7"/>
  <c r="M76" i="7"/>
  <c r="L76" i="7"/>
  <c r="J86" i="7"/>
  <c r="L90" i="7"/>
  <c r="M92" i="7"/>
  <c r="L92" i="7"/>
  <c r="J102" i="7"/>
  <c r="L106" i="7"/>
  <c r="M108" i="7"/>
  <c r="L108" i="7"/>
  <c r="J118" i="7"/>
  <c r="L122" i="7"/>
  <c r="M124" i="7"/>
  <c r="L124" i="7"/>
  <c r="J134" i="7"/>
  <c r="N166" i="7"/>
  <c r="N54" i="7"/>
  <c r="M57" i="7"/>
  <c r="K59" i="7"/>
  <c r="L61" i="7"/>
  <c r="M66" i="7"/>
  <c r="L68" i="7"/>
  <c r="L70" i="7"/>
  <c r="J73" i="7"/>
  <c r="I73" i="7"/>
  <c r="Q73" i="7" s="1"/>
  <c r="M74" i="7"/>
  <c r="I76" i="7"/>
  <c r="Q76" i="7" s="1"/>
  <c r="L77" i="7"/>
  <c r="N81" i="7"/>
  <c r="N85" i="7"/>
  <c r="M85" i="7"/>
  <c r="K86" i="7"/>
  <c r="J89" i="7"/>
  <c r="I89" i="7"/>
  <c r="Q89" i="7" s="1"/>
  <c r="M90" i="7"/>
  <c r="I92" i="7"/>
  <c r="Q92" i="7" s="1"/>
  <c r="L93" i="7"/>
  <c r="N97" i="7"/>
  <c r="N101" i="7"/>
  <c r="M101" i="7"/>
  <c r="K102" i="7"/>
  <c r="H102" i="7" s="1"/>
  <c r="P102" i="7" s="1"/>
  <c r="J105" i="7"/>
  <c r="I105" i="7"/>
  <c r="Q105" i="7" s="1"/>
  <c r="M106" i="7"/>
  <c r="I108" i="7"/>
  <c r="Q108" i="7" s="1"/>
  <c r="L109" i="7"/>
  <c r="N113" i="7"/>
  <c r="N117" i="7"/>
  <c r="M117" i="7"/>
  <c r="K118" i="7"/>
  <c r="J121" i="7"/>
  <c r="I121" i="7"/>
  <c r="Q121" i="7" s="1"/>
  <c r="M122" i="7"/>
  <c r="I124" i="7"/>
  <c r="Q124" i="7" s="1"/>
  <c r="L125" i="7"/>
  <c r="N129" i="7"/>
  <c r="N133" i="7"/>
  <c r="M133" i="7"/>
  <c r="K134" i="7"/>
  <c r="K137" i="7"/>
  <c r="J137" i="7"/>
  <c r="I137" i="7"/>
  <c r="Q137" i="7" s="1"/>
  <c r="M139" i="7"/>
  <c r="L139" i="7"/>
  <c r="K139" i="7"/>
  <c r="N141" i="7"/>
  <c r="M141" i="7"/>
  <c r="L154" i="7"/>
  <c r="K154" i="7"/>
  <c r="J154" i="7"/>
  <c r="N156" i="7"/>
  <c r="M156" i="7"/>
  <c r="L156" i="7"/>
  <c r="L157" i="7"/>
  <c r="AE169" i="5"/>
  <c r="AE174" i="5" s="1"/>
  <c r="AD169" i="5"/>
  <c r="AD174" i="5" s="1"/>
  <c r="AA169" i="5"/>
  <c r="AA174" i="5" s="1"/>
  <c r="Z169" i="5"/>
  <c r="X169" i="5"/>
  <c r="X174" i="5" s="1"/>
  <c r="W169" i="5"/>
  <c r="V169" i="5"/>
  <c r="U169" i="5"/>
  <c r="T169" i="5"/>
  <c r="S169" i="5"/>
  <c r="R169" i="5"/>
  <c r="Q169" i="5"/>
  <c r="P169" i="5"/>
  <c r="O169" i="5"/>
  <c r="N169" i="5"/>
  <c r="M169" i="5"/>
  <c r="L169" i="5"/>
  <c r="K169" i="5"/>
  <c r="J169" i="5"/>
  <c r="I169" i="5"/>
  <c r="H169" i="5"/>
  <c r="G169" i="5"/>
  <c r="F169" i="5"/>
  <c r="E169" i="5"/>
  <c r="D169" i="5"/>
  <c r="AE168" i="5"/>
  <c r="AE170" i="5" s="1"/>
  <c r="AD168" i="5"/>
  <c r="AD173" i="5" s="1"/>
  <c r="AA168" i="5"/>
  <c r="Z168" i="5"/>
  <c r="X168" i="5"/>
  <c r="W168" i="5"/>
  <c r="W173" i="5" s="1"/>
  <c r="V168" i="5"/>
  <c r="V170" i="5" s="1"/>
  <c r="U168" i="5"/>
  <c r="U170" i="5" s="1"/>
  <c r="T168" i="5"/>
  <c r="T170" i="5" s="1"/>
  <c r="S168" i="5"/>
  <c r="S170" i="5" s="1"/>
  <c r="R168" i="5"/>
  <c r="R170" i="5" s="1"/>
  <c r="Q168" i="5"/>
  <c r="P168" i="5"/>
  <c r="P170" i="5" s="1"/>
  <c r="O168" i="5"/>
  <c r="O170" i="5" s="1"/>
  <c r="N168" i="5"/>
  <c r="N170" i="5" s="1"/>
  <c r="M168" i="5"/>
  <c r="M170" i="5" s="1"/>
  <c r="L168" i="5"/>
  <c r="L170" i="5" s="1"/>
  <c r="K168" i="5"/>
  <c r="K170" i="5" s="1"/>
  <c r="J168" i="5"/>
  <c r="J170" i="5" s="1"/>
  <c r="I168" i="5"/>
  <c r="H168" i="5"/>
  <c r="H170" i="5" s="1"/>
  <c r="G168" i="5"/>
  <c r="G170" i="5" s="1"/>
  <c r="F168" i="5"/>
  <c r="F170" i="5" s="1"/>
  <c r="E168" i="5"/>
  <c r="E170" i="5" s="1"/>
  <c r="D168" i="5"/>
  <c r="D170" i="5" s="1"/>
  <c r="AE167" i="5"/>
  <c r="AD167" i="5"/>
  <c r="AD172" i="5" s="1"/>
  <c r="AA167" i="5"/>
  <c r="Z167" i="5"/>
  <c r="X167" i="5"/>
  <c r="X172" i="5" s="1"/>
  <c r="W167" i="5"/>
  <c r="W172" i="5" s="1"/>
  <c r="V167" i="5"/>
  <c r="U167" i="5"/>
  <c r="T167" i="5"/>
  <c r="S167" i="5"/>
  <c r="R167" i="5"/>
  <c r="Q167" i="5"/>
  <c r="P167" i="5"/>
  <c r="O167" i="5"/>
  <c r="N167" i="5"/>
  <c r="M167" i="5"/>
  <c r="L167" i="5"/>
  <c r="K167" i="5"/>
  <c r="J167" i="5"/>
  <c r="I167" i="5"/>
  <c r="H167" i="5"/>
  <c r="G167" i="5"/>
  <c r="F167" i="5"/>
  <c r="E167" i="5"/>
  <c r="D167" i="5"/>
  <c r="AF165" i="5"/>
  <c r="AG165" i="5" s="1"/>
  <c r="AB165" i="5"/>
  <c r="AC165" i="5" s="1"/>
  <c r="Y165" i="5"/>
  <c r="AF164" i="5"/>
  <c r="AG164" i="5" s="1"/>
  <c r="AC164" i="5"/>
  <c r="AB164" i="5"/>
  <c r="Y164" i="5"/>
  <c r="AG163" i="5"/>
  <c r="AF163" i="5"/>
  <c r="AB163" i="5"/>
  <c r="AC163" i="5" s="1"/>
  <c r="Y163" i="5"/>
  <c r="AF162" i="5"/>
  <c r="AB162" i="5"/>
  <c r="Y162" i="5"/>
  <c r="AG161" i="5"/>
  <c r="AF161" i="5"/>
  <c r="AB161" i="5"/>
  <c r="AC161" i="5" s="1"/>
  <c r="Y161" i="5"/>
  <c r="AF160" i="5"/>
  <c r="AG160" i="5" s="1"/>
  <c r="AB160" i="5"/>
  <c r="AC160" i="5" s="1"/>
  <c r="Y160" i="5"/>
  <c r="AF159" i="5"/>
  <c r="AG159" i="5" s="1"/>
  <c r="AB159" i="5"/>
  <c r="AC159" i="5" s="1"/>
  <c r="Y159" i="5"/>
  <c r="AF158" i="5"/>
  <c r="AG158" i="5" s="1"/>
  <c r="AB158" i="5"/>
  <c r="AC158" i="5" s="1"/>
  <c r="Y158" i="5"/>
  <c r="AF157" i="5"/>
  <c r="AB157" i="5"/>
  <c r="AC157" i="5" s="1"/>
  <c r="Y157" i="5"/>
  <c r="AF156" i="5"/>
  <c r="AC156" i="5"/>
  <c r="AB156" i="5"/>
  <c r="Y156" i="5"/>
  <c r="AF155" i="5"/>
  <c r="AC155" i="5"/>
  <c r="AB155" i="5"/>
  <c r="AG155" i="5" s="1"/>
  <c r="Y155" i="5"/>
  <c r="AF154" i="5"/>
  <c r="AB154" i="5"/>
  <c r="Y154" i="5"/>
  <c r="AF153" i="5"/>
  <c r="AB153" i="5"/>
  <c r="AC153" i="5" s="1"/>
  <c r="Y153" i="5"/>
  <c r="AF152" i="5"/>
  <c r="AB152" i="5"/>
  <c r="AC152" i="5" s="1"/>
  <c r="Y152" i="5"/>
  <c r="AF151" i="5"/>
  <c r="AG151" i="5" s="1"/>
  <c r="AB151" i="5"/>
  <c r="AC151" i="5" s="1"/>
  <c r="Y151" i="5"/>
  <c r="AF150" i="5"/>
  <c r="AG150" i="5" s="1"/>
  <c r="AB150" i="5"/>
  <c r="AC150" i="5" s="1"/>
  <c r="Y150" i="5"/>
  <c r="AF149" i="5"/>
  <c r="AG149" i="5" s="1"/>
  <c r="AB149" i="5"/>
  <c r="AC149" i="5" s="1"/>
  <c r="Y149" i="5"/>
  <c r="AF148" i="5"/>
  <c r="AC148" i="5"/>
  <c r="AB148" i="5"/>
  <c r="Y148" i="5"/>
  <c r="AG147" i="5"/>
  <c r="AF147" i="5"/>
  <c r="AB147" i="5"/>
  <c r="AC147" i="5" s="1"/>
  <c r="Y147" i="5"/>
  <c r="AF146" i="5"/>
  <c r="AB146" i="5"/>
  <c r="Y146" i="5"/>
  <c r="AG145" i="5"/>
  <c r="AF145" i="5"/>
  <c r="AB145" i="5"/>
  <c r="AC145" i="5" s="1"/>
  <c r="Y145" i="5"/>
  <c r="AF144" i="5"/>
  <c r="AB144" i="5"/>
  <c r="AC144" i="5" s="1"/>
  <c r="Y144" i="5"/>
  <c r="AF143" i="5"/>
  <c r="AB143" i="5"/>
  <c r="AC143" i="5" s="1"/>
  <c r="Y143" i="5"/>
  <c r="AF142" i="5"/>
  <c r="AG142" i="5" s="1"/>
  <c r="AB142" i="5"/>
  <c r="AC142" i="5" s="1"/>
  <c r="Y142" i="5"/>
  <c r="AF141" i="5"/>
  <c r="AG141" i="5" s="1"/>
  <c r="AC141" i="5"/>
  <c r="AB141" i="5"/>
  <c r="Y141" i="5"/>
  <c r="AF140" i="5"/>
  <c r="AC140" i="5"/>
  <c r="AB140" i="5"/>
  <c r="Y140" i="5"/>
  <c r="AG139" i="5"/>
  <c r="AF139" i="5"/>
  <c r="AB139" i="5"/>
  <c r="AC139" i="5" s="1"/>
  <c r="Y139" i="5"/>
  <c r="AF138" i="5"/>
  <c r="AB138" i="5"/>
  <c r="Y138" i="5"/>
  <c r="AG137" i="5"/>
  <c r="AF137" i="5"/>
  <c r="AB137" i="5"/>
  <c r="AC137" i="5" s="1"/>
  <c r="Y137" i="5"/>
  <c r="AF136" i="5"/>
  <c r="AB136" i="5"/>
  <c r="AC136" i="5" s="1"/>
  <c r="Y136" i="5"/>
  <c r="AF135" i="5"/>
  <c r="AB135" i="5"/>
  <c r="AC135" i="5" s="1"/>
  <c r="Y135" i="5"/>
  <c r="AF134" i="5"/>
  <c r="AB134" i="5"/>
  <c r="AC134" i="5" s="1"/>
  <c r="Y134" i="5"/>
  <c r="AF133" i="5"/>
  <c r="AG133" i="5" s="1"/>
  <c r="AC133" i="5"/>
  <c r="AB133" i="5"/>
  <c r="Y133" i="5"/>
  <c r="AF132" i="5"/>
  <c r="AB132" i="5"/>
  <c r="AC132" i="5" s="1"/>
  <c r="Y132" i="5"/>
  <c r="AF131" i="5"/>
  <c r="AB131" i="5"/>
  <c r="AG131" i="5" s="1"/>
  <c r="Y131" i="5"/>
  <c r="AF130" i="5"/>
  <c r="AB130" i="5"/>
  <c r="AG130" i="5" s="1"/>
  <c r="Y130" i="5"/>
  <c r="AF129" i="5"/>
  <c r="AG129" i="5" s="1"/>
  <c r="AB129" i="5"/>
  <c r="AC129" i="5" s="1"/>
  <c r="Y129" i="5"/>
  <c r="AF128" i="5"/>
  <c r="AG128" i="5" s="1"/>
  <c r="AB128" i="5"/>
  <c r="AC128" i="5" s="1"/>
  <c r="Y128" i="5"/>
  <c r="AF127" i="5"/>
  <c r="AB127" i="5"/>
  <c r="AC127" i="5" s="1"/>
  <c r="Y127" i="5"/>
  <c r="AF126" i="5"/>
  <c r="AC126" i="5"/>
  <c r="AB126" i="5"/>
  <c r="Y126" i="5"/>
  <c r="AF125" i="5"/>
  <c r="AG125" i="5" s="1"/>
  <c r="AB125" i="5"/>
  <c r="AC125" i="5" s="1"/>
  <c r="Y125" i="5"/>
  <c r="AF124" i="5"/>
  <c r="AG124" i="5" s="1"/>
  <c r="AC124" i="5"/>
  <c r="AB124" i="5"/>
  <c r="Y124" i="5"/>
  <c r="AF123" i="5"/>
  <c r="AG123" i="5" s="1"/>
  <c r="AC123" i="5"/>
  <c r="AB123" i="5"/>
  <c r="Y123" i="5"/>
  <c r="AF122" i="5"/>
  <c r="AB122" i="5"/>
  <c r="Y122" i="5"/>
  <c r="AF121" i="5"/>
  <c r="AG121" i="5" s="1"/>
  <c r="AB121" i="5"/>
  <c r="AC121" i="5" s="1"/>
  <c r="Y121" i="5"/>
  <c r="AF120" i="5"/>
  <c r="AG120" i="5" s="1"/>
  <c r="AB120" i="5"/>
  <c r="AC120" i="5" s="1"/>
  <c r="Y120" i="5"/>
  <c r="AF119" i="5"/>
  <c r="AG119" i="5" s="1"/>
  <c r="AB119" i="5"/>
  <c r="AC119" i="5" s="1"/>
  <c r="Y119" i="5"/>
  <c r="AF118" i="5"/>
  <c r="AB118" i="5"/>
  <c r="AC118" i="5" s="1"/>
  <c r="Y118" i="5"/>
  <c r="AF117" i="5"/>
  <c r="AG117" i="5" s="1"/>
  <c r="AC117" i="5"/>
  <c r="AB117" i="5"/>
  <c r="Y117" i="5"/>
  <c r="AF116" i="5"/>
  <c r="AC116" i="5"/>
  <c r="AB116" i="5"/>
  <c r="AG116" i="5" s="1"/>
  <c r="Y116" i="5"/>
  <c r="AG115" i="5"/>
  <c r="AF115" i="5"/>
  <c r="AB115" i="5"/>
  <c r="AC115" i="5" s="1"/>
  <c r="Y115" i="5"/>
  <c r="AF114" i="5"/>
  <c r="AB114" i="5"/>
  <c r="Y114" i="5"/>
  <c r="AG113" i="5"/>
  <c r="AF113" i="5"/>
  <c r="AB113" i="5"/>
  <c r="AC113" i="5" s="1"/>
  <c r="Y113" i="5"/>
  <c r="AF112" i="5"/>
  <c r="AB112" i="5"/>
  <c r="AC112" i="5" s="1"/>
  <c r="Y112" i="5"/>
  <c r="AF111" i="5"/>
  <c r="AB111" i="5"/>
  <c r="AC111" i="5" s="1"/>
  <c r="Y111" i="5"/>
  <c r="AF110" i="5"/>
  <c r="AG110" i="5" s="1"/>
  <c r="AC110" i="5"/>
  <c r="AB110" i="5"/>
  <c r="Y110" i="5"/>
  <c r="AF109" i="5"/>
  <c r="AB109" i="5"/>
  <c r="AC109" i="5" s="1"/>
  <c r="Y109" i="5"/>
  <c r="AF108" i="5"/>
  <c r="AG108" i="5" s="1"/>
  <c r="AB108" i="5"/>
  <c r="AC108" i="5" s="1"/>
  <c r="Y108" i="5"/>
  <c r="AF107" i="5"/>
  <c r="AG107" i="5" s="1"/>
  <c r="AB107" i="5"/>
  <c r="AC107" i="5" s="1"/>
  <c r="Y107" i="5"/>
  <c r="AF106" i="5"/>
  <c r="AB106" i="5"/>
  <c r="AG106" i="5" s="1"/>
  <c r="Y106" i="5"/>
  <c r="AF105" i="5"/>
  <c r="AG105" i="5" s="1"/>
  <c r="AB105" i="5"/>
  <c r="AC105" i="5" s="1"/>
  <c r="Y105" i="5"/>
  <c r="AF104" i="5"/>
  <c r="AG104" i="5" s="1"/>
  <c r="AB104" i="5"/>
  <c r="AC104" i="5" s="1"/>
  <c r="Y104" i="5"/>
  <c r="AF103" i="5"/>
  <c r="AG103" i="5" s="1"/>
  <c r="AB103" i="5"/>
  <c r="AC103" i="5" s="1"/>
  <c r="Y103" i="5"/>
  <c r="AF102" i="5"/>
  <c r="AB102" i="5"/>
  <c r="AC102" i="5" s="1"/>
  <c r="Y102" i="5"/>
  <c r="AF101" i="5"/>
  <c r="AG101" i="5" s="1"/>
  <c r="AC101" i="5"/>
  <c r="AB101" i="5"/>
  <c r="Y101" i="5"/>
  <c r="AF100" i="5"/>
  <c r="AG100" i="5" s="1"/>
  <c r="AC100" i="5"/>
  <c r="AB100" i="5"/>
  <c r="Y100" i="5"/>
  <c r="AG99" i="5"/>
  <c r="AF99" i="5"/>
  <c r="AC99" i="5"/>
  <c r="AB99" i="5"/>
  <c r="Y99" i="5"/>
  <c r="AF98" i="5"/>
  <c r="AB98" i="5"/>
  <c r="Y98" i="5"/>
  <c r="AG97" i="5"/>
  <c r="AF97" i="5"/>
  <c r="AB97" i="5"/>
  <c r="AC97" i="5" s="1"/>
  <c r="Y97" i="5"/>
  <c r="AF96" i="5"/>
  <c r="AB96" i="5"/>
  <c r="AC96" i="5" s="1"/>
  <c r="Y96" i="5"/>
  <c r="AF95" i="5"/>
  <c r="AG95" i="5" s="1"/>
  <c r="AB95" i="5"/>
  <c r="AC95" i="5" s="1"/>
  <c r="Y95" i="5"/>
  <c r="AF94" i="5"/>
  <c r="AG94" i="5" s="1"/>
  <c r="AB94" i="5"/>
  <c r="AC94" i="5" s="1"/>
  <c r="Y94" i="5"/>
  <c r="AF93" i="5"/>
  <c r="AC93" i="5"/>
  <c r="AB93" i="5"/>
  <c r="Y93" i="5"/>
  <c r="AG92" i="5"/>
  <c r="AF92" i="5"/>
  <c r="AB92" i="5"/>
  <c r="AC92" i="5" s="1"/>
  <c r="Y92" i="5"/>
  <c r="AG91" i="5"/>
  <c r="AF91" i="5"/>
  <c r="AB91" i="5"/>
  <c r="AC91" i="5" s="1"/>
  <c r="Y91" i="5"/>
  <c r="AF90" i="5"/>
  <c r="AB90" i="5"/>
  <c r="AG90" i="5" s="1"/>
  <c r="Y90" i="5"/>
  <c r="AG89" i="5"/>
  <c r="AF89" i="5"/>
  <c r="AB89" i="5"/>
  <c r="AC89" i="5" s="1"/>
  <c r="Y89" i="5"/>
  <c r="AF88" i="5"/>
  <c r="AB88" i="5"/>
  <c r="AC88" i="5" s="1"/>
  <c r="Y88" i="5"/>
  <c r="AF87" i="5"/>
  <c r="AB87" i="5"/>
  <c r="AC87" i="5" s="1"/>
  <c r="Y87" i="5"/>
  <c r="AF86" i="5"/>
  <c r="AC86" i="5"/>
  <c r="AB86" i="5"/>
  <c r="Y86" i="5"/>
  <c r="AF85" i="5"/>
  <c r="AB85" i="5"/>
  <c r="AC85" i="5" s="1"/>
  <c r="Y85" i="5"/>
  <c r="AF84" i="5"/>
  <c r="AC84" i="5"/>
  <c r="AB84" i="5"/>
  <c r="Y84" i="5"/>
  <c r="AF83" i="5"/>
  <c r="AC83" i="5"/>
  <c r="AB83" i="5"/>
  <c r="AG83" i="5" s="1"/>
  <c r="Y83" i="5"/>
  <c r="AF82" i="5"/>
  <c r="AB82" i="5"/>
  <c r="Y82" i="5"/>
  <c r="AF81" i="5"/>
  <c r="AB81" i="5"/>
  <c r="AC81" i="5" s="1"/>
  <c r="Y81" i="5"/>
  <c r="AF80" i="5"/>
  <c r="AB80" i="5"/>
  <c r="AC80" i="5" s="1"/>
  <c r="Y80" i="5"/>
  <c r="AF79" i="5"/>
  <c r="AG79" i="5" s="1"/>
  <c r="AB79" i="5"/>
  <c r="AC79" i="5" s="1"/>
  <c r="Y79" i="5"/>
  <c r="AF78" i="5"/>
  <c r="AG78" i="5" s="1"/>
  <c r="AB78" i="5"/>
  <c r="AC78" i="5" s="1"/>
  <c r="Y78" i="5"/>
  <c r="AF77" i="5"/>
  <c r="AG77" i="5" s="1"/>
  <c r="AB77" i="5"/>
  <c r="AC77" i="5" s="1"/>
  <c r="Y77" i="5"/>
  <c r="AF76" i="5"/>
  <c r="AC76" i="5"/>
  <c r="AB76" i="5"/>
  <c r="Y76" i="5"/>
  <c r="AG75" i="5"/>
  <c r="AF75" i="5"/>
  <c r="AB75" i="5"/>
  <c r="AC75" i="5" s="1"/>
  <c r="Y75" i="5"/>
  <c r="AF74" i="5"/>
  <c r="AB74" i="5"/>
  <c r="Y74" i="5"/>
  <c r="AG73" i="5"/>
  <c r="AF73" i="5"/>
  <c r="AB73" i="5"/>
  <c r="AC73" i="5" s="1"/>
  <c r="Y73" i="5"/>
  <c r="AF72" i="5"/>
  <c r="AB72" i="5"/>
  <c r="AC72" i="5" s="1"/>
  <c r="Y72" i="5"/>
  <c r="AF71" i="5"/>
  <c r="AB71" i="5"/>
  <c r="AC71" i="5" s="1"/>
  <c r="Y71" i="5"/>
  <c r="AF70" i="5"/>
  <c r="AG70" i="5" s="1"/>
  <c r="AB70" i="5"/>
  <c r="AC70" i="5" s="1"/>
  <c r="Y70" i="5"/>
  <c r="AF69" i="5"/>
  <c r="AG69" i="5" s="1"/>
  <c r="AC69" i="5"/>
  <c r="AB69" i="5"/>
  <c r="Y69" i="5"/>
  <c r="AF68" i="5"/>
  <c r="AG68" i="5" s="1"/>
  <c r="AC68" i="5"/>
  <c r="AB68" i="5"/>
  <c r="Y68" i="5"/>
  <c r="AG67" i="5"/>
  <c r="AF67" i="5"/>
  <c r="AB67" i="5"/>
  <c r="AC67" i="5" s="1"/>
  <c r="Y67" i="5"/>
  <c r="AF66" i="5"/>
  <c r="AB66" i="5"/>
  <c r="Y66" i="5"/>
  <c r="AG65" i="5"/>
  <c r="AF65" i="5"/>
  <c r="AB65" i="5"/>
  <c r="AC65" i="5" s="1"/>
  <c r="Y65" i="5"/>
  <c r="AF64" i="5"/>
  <c r="AG64" i="5" s="1"/>
  <c r="AB64" i="5"/>
  <c r="AC64" i="5" s="1"/>
  <c r="Y64" i="5"/>
  <c r="AF63" i="5"/>
  <c r="AB63" i="5"/>
  <c r="AC63" i="5" s="1"/>
  <c r="Y63" i="5"/>
  <c r="AF62" i="5"/>
  <c r="AG62" i="5" s="1"/>
  <c r="AC62" i="5"/>
  <c r="AB62" i="5"/>
  <c r="Y62" i="5"/>
  <c r="AF61" i="5"/>
  <c r="AB61" i="5"/>
  <c r="AC61" i="5" s="1"/>
  <c r="Y61" i="5"/>
  <c r="AF60" i="5"/>
  <c r="AG60" i="5" s="1"/>
  <c r="AC60" i="5"/>
  <c r="AB60" i="5"/>
  <c r="Y60" i="5"/>
  <c r="AF59" i="5"/>
  <c r="AG59" i="5" s="1"/>
  <c r="AB59" i="5"/>
  <c r="AC59" i="5" s="1"/>
  <c r="Y59" i="5"/>
  <c r="AF58" i="5"/>
  <c r="AB58" i="5"/>
  <c r="Y58" i="5"/>
  <c r="AF57" i="5"/>
  <c r="AG57" i="5" s="1"/>
  <c r="AB57" i="5"/>
  <c r="AC57" i="5" s="1"/>
  <c r="Y57" i="5"/>
  <c r="AF56" i="5"/>
  <c r="AG56" i="5" s="1"/>
  <c r="AB56" i="5"/>
  <c r="AC56" i="5" s="1"/>
  <c r="Y56" i="5"/>
  <c r="AF55" i="5"/>
  <c r="AG55" i="5" s="1"/>
  <c r="AB55" i="5"/>
  <c r="AC55" i="5" s="1"/>
  <c r="Y55" i="5"/>
  <c r="AF54" i="5"/>
  <c r="AB54" i="5"/>
  <c r="AC54" i="5" s="1"/>
  <c r="Y54" i="5"/>
  <c r="AF53" i="5"/>
  <c r="AG53" i="5" s="1"/>
  <c r="AB53" i="5"/>
  <c r="AC53" i="5" s="1"/>
  <c r="Y53" i="5"/>
  <c r="AF52" i="5"/>
  <c r="AC52" i="5"/>
  <c r="AB52" i="5"/>
  <c r="AG52" i="5" s="1"/>
  <c r="Y52" i="5"/>
  <c r="AF51" i="5"/>
  <c r="AG51" i="5" s="1"/>
  <c r="AC51" i="5"/>
  <c r="AB51" i="5"/>
  <c r="Y51" i="5"/>
  <c r="AF50" i="5"/>
  <c r="AB50" i="5"/>
  <c r="Y50" i="5"/>
  <c r="AF49" i="5"/>
  <c r="AB49" i="5"/>
  <c r="AC49" i="5" s="1"/>
  <c r="Y49" i="5"/>
  <c r="AF48" i="5"/>
  <c r="AB48" i="5"/>
  <c r="AC48" i="5" s="1"/>
  <c r="Y48" i="5"/>
  <c r="AF47" i="5"/>
  <c r="AG47" i="5" s="1"/>
  <c r="AB47" i="5"/>
  <c r="AC47" i="5" s="1"/>
  <c r="Y47" i="5"/>
  <c r="AF46" i="5"/>
  <c r="AG46" i="5" s="1"/>
  <c r="AB46" i="5"/>
  <c r="AC46" i="5" s="1"/>
  <c r="Y46" i="5"/>
  <c r="AF45" i="5"/>
  <c r="AG45" i="5" s="1"/>
  <c r="AB45" i="5"/>
  <c r="AC45" i="5" s="1"/>
  <c r="Y45" i="5"/>
  <c r="AG44" i="5"/>
  <c r="AF44" i="5"/>
  <c r="AB44" i="5"/>
  <c r="AC44" i="5" s="1"/>
  <c r="Y44" i="5"/>
  <c r="AF43" i="5"/>
  <c r="AG43" i="5" s="1"/>
  <c r="AB43" i="5"/>
  <c r="AC43" i="5" s="1"/>
  <c r="Y43" i="5"/>
  <c r="AF42" i="5"/>
  <c r="AB42" i="5"/>
  <c r="AG42" i="5" s="1"/>
  <c r="Y42" i="5"/>
  <c r="AF41" i="5"/>
  <c r="AG41" i="5" s="1"/>
  <c r="AB41" i="5"/>
  <c r="AC41" i="5" s="1"/>
  <c r="Y41" i="5"/>
  <c r="AF40" i="5"/>
  <c r="AG40" i="5" s="1"/>
  <c r="AB40" i="5"/>
  <c r="AC40" i="5" s="1"/>
  <c r="Y40" i="5"/>
  <c r="AF39" i="5"/>
  <c r="AG39" i="5" s="1"/>
  <c r="AB39" i="5"/>
  <c r="AC39" i="5" s="1"/>
  <c r="Y39" i="5"/>
  <c r="AF38" i="5"/>
  <c r="AC38" i="5"/>
  <c r="AB38" i="5"/>
  <c r="Y38" i="5"/>
  <c r="AF37" i="5"/>
  <c r="AG37" i="5" s="1"/>
  <c r="AC37" i="5"/>
  <c r="AB37" i="5"/>
  <c r="Y37" i="5"/>
  <c r="AF36" i="5"/>
  <c r="AG36" i="5" s="1"/>
  <c r="AB36" i="5"/>
  <c r="AC36" i="5" s="1"/>
  <c r="Y36" i="5"/>
  <c r="AG35" i="5"/>
  <c r="AF35" i="5"/>
  <c r="AC35" i="5"/>
  <c r="AB35" i="5"/>
  <c r="Y35" i="5"/>
  <c r="AF34" i="5"/>
  <c r="AB34" i="5"/>
  <c r="AG34" i="5" s="1"/>
  <c r="Y34" i="5"/>
  <c r="AG33" i="5"/>
  <c r="AF33" i="5"/>
  <c r="AB33" i="5"/>
  <c r="AC33" i="5" s="1"/>
  <c r="Y33" i="5"/>
  <c r="AF32" i="5"/>
  <c r="AG32" i="5" s="1"/>
  <c r="AB32" i="5"/>
  <c r="AC32" i="5" s="1"/>
  <c r="Y32" i="5"/>
  <c r="AF31" i="5"/>
  <c r="AG31" i="5" s="1"/>
  <c r="AB31" i="5"/>
  <c r="AC31" i="5" s="1"/>
  <c r="Y31" i="5"/>
  <c r="AF30" i="5"/>
  <c r="AB30" i="5"/>
  <c r="AC30" i="5" s="1"/>
  <c r="Y30" i="5"/>
  <c r="AF29" i="5"/>
  <c r="AC29" i="5"/>
  <c r="AB29" i="5"/>
  <c r="Y29" i="5"/>
  <c r="AF28" i="5"/>
  <c r="AC28" i="5"/>
  <c r="AB28" i="5"/>
  <c r="AG28" i="5" s="1"/>
  <c r="Y28" i="5"/>
  <c r="AG27" i="5"/>
  <c r="AF27" i="5"/>
  <c r="AF169" i="5" s="1"/>
  <c r="AB27" i="5"/>
  <c r="AC27" i="5" s="1"/>
  <c r="Y27" i="5"/>
  <c r="AF26" i="5"/>
  <c r="AB26" i="5"/>
  <c r="Y26" i="5"/>
  <c r="AF25" i="5"/>
  <c r="AG25" i="5" s="1"/>
  <c r="AB25" i="5"/>
  <c r="AC25" i="5" s="1"/>
  <c r="Y25" i="5"/>
  <c r="AF24" i="5"/>
  <c r="AB24" i="5"/>
  <c r="AC24" i="5" s="1"/>
  <c r="Y24" i="5"/>
  <c r="AF23" i="5"/>
  <c r="AB23" i="5"/>
  <c r="AC23" i="5" s="1"/>
  <c r="Y23" i="5"/>
  <c r="AF22" i="5"/>
  <c r="AG22" i="5" s="1"/>
  <c r="AC22" i="5"/>
  <c r="AB22" i="5"/>
  <c r="Y22" i="5"/>
  <c r="AF21" i="5"/>
  <c r="AB21" i="5"/>
  <c r="AC21" i="5" s="1"/>
  <c r="Y21" i="5"/>
  <c r="AF20" i="5"/>
  <c r="AG20" i="5" s="1"/>
  <c r="AB20" i="5"/>
  <c r="AC20" i="5" s="1"/>
  <c r="Y20" i="5"/>
  <c r="AF19" i="5"/>
  <c r="AG19" i="5" s="1"/>
  <c r="AC19" i="5"/>
  <c r="AB19" i="5"/>
  <c r="Y19" i="5"/>
  <c r="AF18" i="5"/>
  <c r="AB18" i="5"/>
  <c r="AG18" i="5" s="1"/>
  <c r="Y18" i="5"/>
  <c r="AF17" i="5"/>
  <c r="AG17" i="5" s="1"/>
  <c r="AB17" i="5"/>
  <c r="AC17" i="5" s="1"/>
  <c r="Y17" i="5"/>
  <c r="AF16" i="5"/>
  <c r="AG16" i="5" s="1"/>
  <c r="AB16" i="5"/>
  <c r="AC16" i="5" s="1"/>
  <c r="Y16" i="5"/>
  <c r="AF15" i="5"/>
  <c r="AB15" i="5"/>
  <c r="AC15" i="5" s="1"/>
  <c r="Y15" i="5"/>
  <c r="AF14" i="5"/>
  <c r="AG14" i="5" s="1"/>
  <c r="AB14" i="5"/>
  <c r="AC14" i="5" s="1"/>
  <c r="Y14" i="5"/>
  <c r="AF13" i="5"/>
  <c r="AG13" i="5" s="1"/>
  <c r="AB13" i="5"/>
  <c r="AC13" i="5" s="1"/>
  <c r="Y13" i="5"/>
  <c r="AG12" i="5"/>
  <c r="AF12" i="5"/>
  <c r="AB12" i="5"/>
  <c r="AC12" i="5" s="1"/>
  <c r="Y12" i="5"/>
  <c r="AF11" i="5"/>
  <c r="AG11" i="5" s="1"/>
  <c r="AB11" i="5"/>
  <c r="AC11" i="5" s="1"/>
  <c r="Y11" i="5"/>
  <c r="AF10" i="5"/>
  <c r="AB10" i="5"/>
  <c r="Y10" i="5"/>
  <c r="AF9" i="5"/>
  <c r="AG9" i="5" s="1"/>
  <c r="AB9" i="5"/>
  <c r="AC9" i="5" s="1"/>
  <c r="Y9" i="5"/>
  <c r="AF8" i="5"/>
  <c r="AG8" i="5" s="1"/>
  <c r="AB8" i="5"/>
  <c r="AC8" i="5" s="1"/>
  <c r="Y8" i="5"/>
  <c r="AF7" i="5"/>
  <c r="AG7" i="5" s="1"/>
  <c r="AB7" i="5"/>
  <c r="AC7" i="5" s="1"/>
  <c r="Y7" i="5"/>
  <c r="AF6" i="5"/>
  <c r="AG6" i="5" s="1"/>
  <c r="AC6" i="5"/>
  <c r="AB6" i="5"/>
  <c r="Y6" i="5"/>
  <c r="AF5" i="5"/>
  <c r="AC5" i="5"/>
  <c r="AB5" i="5"/>
  <c r="Y5" i="5"/>
  <c r="AF4" i="5"/>
  <c r="AG4" i="5" s="1"/>
  <c r="AB4" i="5"/>
  <c r="AC4" i="5" s="1"/>
  <c r="Y4" i="5"/>
  <c r="AG3" i="5"/>
  <c r="AF3" i="5"/>
  <c r="AB3" i="5"/>
  <c r="AC3" i="5" s="1"/>
  <c r="Y3" i="5"/>
  <c r="AF2" i="5"/>
  <c r="AB2" i="5"/>
  <c r="AG2" i="5" s="1"/>
  <c r="Y2" i="5"/>
  <c r="AF22" i="10" l="1"/>
  <c r="AL22" i="10" s="1"/>
  <c r="X7" i="10"/>
  <c r="R7" i="10"/>
  <c r="AC21" i="10"/>
  <c r="W21" i="10"/>
  <c r="R58" i="10"/>
  <c r="X58" i="10"/>
  <c r="X40" i="10"/>
  <c r="R40" i="10"/>
  <c r="X39" i="10"/>
  <c r="R39" i="10"/>
  <c r="X30" i="10"/>
  <c r="R30" i="10"/>
  <c r="X62" i="10"/>
  <c r="R62" i="10"/>
  <c r="X6" i="10"/>
  <c r="R6" i="10"/>
  <c r="X12" i="10"/>
  <c r="R12" i="10"/>
  <c r="X29" i="10"/>
  <c r="R29" i="10"/>
  <c r="X28" i="10"/>
  <c r="R28" i="10"/>
  <c r="AC8" i="10"/>
  <c r="W8" i="10"/>
  <c r="AC5" i="10"/>
  <c r="W5" i="10"/>
  <c r="AC28" i="10"/>
  <c r="W28" i="10"/>
  <c r="AC6" i="10"/>
  <c r="W6" i="10"/>
  <c r="AC51" i="10"/>
  <c r="W51" i="10"/>
  <c r="AC37" i="10"/>
  <c r="W37" i="10"/>
  <c r="AC16" i="10"/>
  <c r="W16" i="10"/>
  <c r="AC44" i="10"/>
  <c r="W44" i="10"/>
  <c r="AC45" i="10"/>
  <c r="W45" i="10"/>
  <c r="Y46" i="10"/>
  <c r="S46" i="10"/>
  <c r="Y58" i="10"/>
  <c r="S58" i="10"/>
  <c r="Y61" i="10"/>
  <c r="S61" i="10"/>
  <c r="Y35" i="10"/>
  <c r="S35" i="10"/>
  <c r="Y43" i="10"/>
  <c r="S43" i="10"/>
  <c r="Y30" i="10"/>
  <c r="S30" i="10"/>
  <c r="Y62" i="10"/>
  <c r="S62" i="10"/>
  <c r="X66" i="10"/>
  <c r="R66" i="10"/>
  <c r="X38" i="10"/>
  <c r="R38" i="10"/>
  <c r="X55" i="10"/>
  <c r="R55" i="10"/>
  <c r="X18" i="10"/>
  <c r="R18" i="10"/>
  <c r="X21" i="10"/>
  <c r="R21" i="10"/>
  <c r="X45" i="10"/>
  <c r="R45" i="10"/>
  <c r="AC48" i="10"/>
  <c r="W48" i="10"/>
  <c r="AC30" i="10"/>
  <c r="W30" i="10"/>
  <c r="W27" i="10"/>
  <c r="AC27" i="10"/>
  <c r="W56" i="10"/>
  <c r="AC56" i="10"/>
  <c r="AC35" i="10"/>
  <c r="W35" i="10"/>
  <c r="W49" i="10"/>
  <c r="AC49" i="10"/>
  <c r="Y16" i="10"/>
  <c r="S16" i="10"/>
  <c r="Y21" i="10"/>
  <c r="S21" i="10"/>
  <c r="Y33" i="10"/>
  <c r="S33" i="10"/>
  <c r="Y39" i="10"/>
  <c r="S39" i="10"/>
  <c r="Y22" i="10"/>
  <c r="S22" i="10"/>
  <c r="Y63" i="10"/>
  <c r="S63" i="10"/>
  <c r="Y37" i="10"/>
  <c r="S37" i="10"/>
  <c r="X50" i="10"/>
  <c r="R50" i="10"/>
  <c r="X51" i="10"/>
  <c r="R51" i="10"/>
  <c r="X13" i="10"/>
  <c r="R13" i="10"/>
  <c r="AC54" i="10"/>
  <c r="W54" i="10"/>
  <c r="AC60" i="10"/>
  <c r="W60" i="10"/>
  <c r="AC47" i="10"/>
  <c r="W47" i="10"/>
  <c r="Y23" i="10"/>
  <c r="S23" i="10"/>
  <c r="X8" i="10"/>
  <c r="R8" i="10"/>
  <c r="X64" i="10"/>
  <c r="R64" i="10"/>
  <c r="AC43" i="10"/>
  <c r="W43" i="10"/>
  <c r="AC22" i="10"/>
  <c r="W22" i="10"/>
  <c r="AC39" i="10"/>
  <c r="W39" i="10"/>
  <c r="AC62" i="10"/>
  <c r="W62" i="10"/>
  <c r="W17" i="10"/>
  <c r="AC17" i="10"/>
  <c r="AC13" i="10"/>
  <c r="W13" i="10"/>
  <c r="AC33" i="10"/>
  <c r="W33" i="10"/>
  <c r="Y8" i="10"/>
  <c r="S8" i="10"/>
  <c r="Y34" i="10"/>
  <c r="S34" i="10"/>
  <c r="Y65" i="10"/>
  <c r="S65" i="10"/>
  <c r="Y29" i="10"/>
  <c r="S29" i="10"/>
  <c r="Y51" i="10"/>
  <c r="S51" i="10"/>
  <c r="Y6" i="10"/>
  <c r="S6" i="10"/>
  <c r="Y53" i="10"/>
  <c r="S53" i="10"/>
  <c r="Y56" i="10"/>
  <c r="S56" i="10"/>
  <c r="X16" i="10"/>
  <c r="R16" i="10"/>
  <c r="X43" i="10"/>
  <c r="R43" i="10"/>
  <c r="X54" i="10"/>
  <c r="R54" i="10"/>
  <c r="X5" i="10"/>
  <c r="R5" i="10"/>
  <c r="X31" i="10"/>
  <c r="R31" i="10"/>
  <c r="X41" i="10"/>
  <c r="R41" i="10"/>
  <c r="X52" i="10"/>
  <c r="R52" i="10"/>
  <c r="X14" i="10"/>
  <c r="R14" i="10"/>
  <c r="AC55" i="10"/>
  <c r="W55" i="10"/>
  <c r="AC53" i="10"/>
  <c r="W53" i="10"/>
  <c r="AC59" i="10"/>
  <c r="W59" i="10"/>
  <c r="W64" i="10"/>
  <c r="AC64" i="10"/>
  <c r="AC18" i="10"/>
  <c r="W18" i="10"/>
  <c r="AC57" i="10"/>
  <c r="W57" i="10"/>
  <c r="AC41" i="10"/>
  <c r="W41" i="10"/>
  <c r="AC67" i="10"/>
  <c r="W67" i="10"/>
  <c r="Y17" i="10"/>
  <c r="S17" i="10"/>
  <c r="Y67" i="10"/>
  <c r="S67" i="10"/>
  <c r="Y48" i="10"/>
  <c r="S48" i="10"/>
  <c r="Y66" i="10"/>
  <c r="S66" i="10"/>
  <c r="Y32" i="10"/>
  <c r="S32" i="10"/>
  <c r="Y45" i="10"/>
  <c r="S45" i="10"/>
  <c r="X42" i="10"/>
  <c r="R42" i="10"/>
  <c r="X22" i="10"/>
  <c r="R22" i="10"/>
  <c r="AC26" i="10"/>
  <c r="W26" i="10"/>
  <c r="AC25" i="10"/>
  <c r="W25" i="10"/>
  <c r="Y59" i="10"/>
  <c r="S59" i="10"/>
  <c r="Y38" i="10"/>
  <c r="S38" i="10"/>
  <c r="R9" i="10"/>
  <c r="X9" i="10"/>
  <c r="X15" i="10"/>
  <c r="R15" i="10"/>
  <c r="X60" i="10"/>
  <c r="R60" i="10"/>
  <c r="AC52" i="10"/>
  <c r="W52" i="10"/>
  <c r="Y24" i="10"/>
  <c r="S24" i="10"/>
  <c r="X10" i="10"/>
  <c r="R10" i="10"/>
  <c r="X33" i="10"/>
  <c r="R33" i="10"/>
  <c r="X61" i="10"/>
  <c r="R61" i="10"/>
  <c r="X23" i="10"/>
  <c r="R23" i="10"/>
  <c r="X56" i="10"/>
  <c r="R56" i="10"/>
  <c r="X46" i="10"/>
  <c r="R46" i="10"/>
  <c r="AC20" i="10"/>
  <c r="W20" i="10"/>
  <c r="AC36" i="10"/>
  <c r="W36" i="10"/>
  <c r="AC66" i="10"/>
  <c r="W66" i="10"/>
  <c r="AC12" i="10"/>
  <c r="W12" i="10"/>
  <c r="AC32" i="10"/>
  <c r="W32" i="10"/>
  <c r="AC42" i="10"/>
  <c r="W42" i="10"/>
  <c r="AC65" i="10"/>
  <c r="W65" i="10"/>
  <c r="AC61" i="10"/>
  <c r="W61" i="10"/>
  <c r="AC46" i="10"/>
  <c r="W46" i="10"/>
  <c r="AC7" i="10"/>
  <c r="W7" i="10"/>
  <c r="Y64" i="10"/>
  <c r="S64" i="10"/>
  <c r="Y50" i="10"/>
  <c r="S50" i="10"/>
  <c r="Y9" i="10"/>
  <c r="S9" i="10"/>
  <c r="Y5" i="10"/>
  <c r="S5" i="10"/>
  <c r="Y54" i="10"/>
  <c r="S54" i="10"/>
  <c r="Y27" i="10"/>
  <c r="S27" i="10"/>
  <c r="Y26" i="10"/>
  <c r="S26" i="10"/>
  <c r="Y52" i="10"/>
  <c r="S52" i="10"/>
  <c r="X53" i="10"/>
  <c r="R53" i="10"/>
  <c r="X49" i="10"/>
  <c r="R49" i="10"/>
  <c r="AC34" i="10"/>
  <c r="W34" i="10"/>
  <c r="AC29" i="10"/>
  <c r="W29" i="10"/>
  <c r="Y10" i="10"/>
  <c r="S10" i="10"/>
  <c r="Y14" i="10"/>
  <c r="S14" i="10"/>
  <c r="Y15" i="10"/>
  <c r="S15" i="10"/>
  <c r="X44" i="10"/>
  <c r="R44" i="10"/>
  <c r="X32" i="10"/>
  <c r="R32" i="10"/>
  <c r="R47" i="10"/>
  <c r="X47" i="10"/>
  <c r="X20" i="10"/>
  <c r="R20" i="10"/>
  <c r="X34" i="10"/>
  <c r="R34" i="10"/>
  <c r="X25" i="10"/>
  <c r="R25" i="10"/>
  <c r="X35" i="10"/>
  <c r="R35" i="10"/>
  <c r="X27" i="10"/>
  <c r="R27" i="10"/>
  <c r="X26" i="10"/>
  <c r="R26" i="10"/>
  <c r="X48" i="10"/>
  <c r="R48" i="10"/>
  <c r="X11" i="10"/>
  <c r="AC38" i="10"/>
  <c r="W38" i="10"/>
  <c r="AC63" i="10"/>
  <c r="W63" i="10"/>
  <c r="AC9" i="10"/>
  <c r="W9" i="10"/>
  <c r="AC24" i="10"/>
  <c r="W24" i="10"/>
  <c r="AC15" i="10"/>
  <c r="W15" i="10"/>
  <c r="AC40" i="10"/>
  <c r="W40" i="10"/>
  <c r="AC19" i="10"/>
  <c r="W19" i="10"/>
  <c r="AC14" i="10"/>
  <c r="W14" i="10"/>
  <c r="AC58" i="10"/>
  <c r="W58" i="10"/>
  <c r="Y20" i="10"/>
  <c r="S20" i="10"/>
  <c r="Y60" i="10"/>
  <c r="S60" i="10"/>
  <c r="Y13" i="10"/>
  <c r="S13" i="10"/>
  <c r="Y47" i="10"/>
  <c r="S47" i="10"/>
  <c r="Y7" i="10"/>
  <c r="S7" i="10"/>
  <c r="Y12" i="10"/>
  <c r="S12" i="10"/>
  <c r="Y42" i="10"/>
  <c r="S42" i="10"/>
  <c r="Y31" i="10"/>
  <c r="S31" i="10"/>
  <c r="Y41" i="10"/>
  <c r="S41" i="10"/>
  <c r="Y49" i="10"/>
  <c r="S49" i="10"/>
  <c r="X67" i="10"/>
  <c r="R67" i="10"/>
  <c r="X65" i="10"/>
  <c r="R65" i="10"/>
  <c r="X36" i="10"/>
  <c r="R36" i="10"/>
  <c r="X63" i="10"/>
  <c r="R63" i="10"/>
  <c r="X37" i="10"/>
  <c r="R37" i="10"/>
  <c r="X59" i="10"/>
  <c r="R59" i="10"/>
  <c r="X57" i="10"/>
  <c r="R57" i="10"/>
  <c r="X17" i="10"/>
  <c r="R17" i="10"/>
  <c r="X19" i="10"/>
  <c r="R19" i="10"/>
  <c r="X24" i="10"/>
  <c r="R24" i="10"/>
  <c r="AC23" i="10"/>
  <c r="W23" i="10"/>
  <c r="AC11" i="10"/>
  <c r="W11" i="10"/>
  <c r="W31" i="10"/>
  <c r="AC31" i="10"/>
  <c r="AC10" i="10"/>
  <c r="W10" i="10"/>
  <c r="AC50" i="10"/>
  <c r="W50" i="10"/>
  <c r="Y55" i="10"/>
  <c r="S55" i="10"/>
  <c r="Y11" i="10"/>
  <c r="S11" i="10"/>
  <c r="Y25" i="10"/>
  <c r="S25" i="10"/>
  <c r="Y36" i="10"/>
  <c r="S36" i="10"/>
  <c r="Y44" i="10"/>
  <c r="S44" i="10"/>
  <c r="Y57" i="10"/>
  <c r="S57" i="10"/>
  <c r="S28" i="10"/>
  <c r="Y28" i="10"/>
  <c r="Y40" i="10"/>
  <c r="S40" i="10"/>
  <c r="Y18" i="10"/>
  <c r="S18" i="10"/>
  <c r="Y19" i="10"/>
  <c r="S19" i="10"/>
  <c r="AF51" i="10"/>
  <c r="AL51" i="10" s="1"/>
  <c r="AF60" i="10"/>
  <c r="AL60" i="10" s="1"/>
  <c r="AF12" i="10"/>
  <c r="AL12" i="10" s="1"/>
  <c r="AF13" i="10"/>
  <c r="AL13" i="10" s="1"/>
  <c r="AF65" i="10"/>
  <c r="AL65" i="10" s="1"/>
  <c r="AF17" i="10"/>
  <c r="AL17" i="10" s="1"/>
  <c r="AF36" i="10"/>
  <c r="AL36" i="10" s="1"/>
  <c r="AF39" i="10"/>
  <c r="AL39" i="10" s="1"/>
  <c r="AF6" i="10"/>
  <c r="AL6" i="10" s="1"/>
  <c r="AF59" i="10"/>
  <c r="AL59" i="10" s="1"/>
  <c r="AF43" i="10"/>
  <c r="AL43" i="10" s="1"/>
  <c r="AF19" i="10"/>
  <c r="AL19" i="10" s="1"/>
  <c r="AF29" i="10"/>
  <c r="AL29" i="10" s="1"/>
  <c r="AF48" i="10"/>
  <c r="AL48" i="10" s="1"/>
  <c r="AF64" i="10"/>
  <c r="AL64" i="10" s="1"/>
  <c r="AF52" i="10"/>
  <c r="AL52" i="10" s="1"/>
  <c r="AF54" i="10"/>
  <c r="AL54" i="10" s="1"/>
  <c r="AF49" i="10"/>
  <c r="AL49" i="10" s="1"/>
  <c r="AF40" i="10"/>
  <c r="AL40" i="10" s="1"/>
  <c r="AF45" i="10"/>
  <c r="AL45" i="10" s="1"/>
  <c r="AF67" i="10"/>
  <c r="AL67" i="10" s="1"/>
  <c r="AF11" i="10"/>
  <c r="AL11" i="10" s="1"/>
  <c r="AF47" i="10"/>
  <c r="AL47" i="10" s="1"/>
  <c r="AF18" i="10"/>
  <c r="AL18" i="10" s="1"/>
  <c r="AF50" i="10"/>
  <c r="AL50" i="10" s="1"/>
  <c r="AF42" i="10"/>
  <c r="AL42" i="10" s="1"/>
  <c r="AF27" i="10"/>
  <c r="AL27" i="10" s="1"/>
  <c r="AF8" i="10"/>
  <c r="AL8" i="10" s="1"/>
  <c r="AF57" i="10"/>
  <c r="AF15" i="10"/>
  <c r="AF44" i="10"/>
  <c r="AF20" i="10"/>
  <c r="AF34" i="10"/>
  <c r="AF24" i="10"/>
  <c r="AF7" i="10"/>
  <c r="AF10" i="10"/>
  <c r="AF9" i="10"/>
  <c r="AF46" i="10"/>
  <c r="AF61" i="10"/>
  <c r="AF55" i="10"/>
  <c r="AF33" i="10"/>
  <c r="AF23" i="10"/>
  <c r="AF31" i="10"/>
  <c r="AF56" i="10"/>
  <c r="AF25" i="10"/>
  <c r="AF35" i="10"/>
  <c r="AF26" i="10"/>
  <c r="AF66" i="10"/>
  <c r="AF62" i="10"/>
  <c r="AF5" i="10"/>
  <c r="AF30" i="10"/>
  <c r="AF63" i="10"/>
  <c r="AF16" i="10"/>
  <c r="AF14" i="10"/>
  <c r="AF41" i="10"/>
  <c r="AF32" i="10"/>
  <c r="AF58" i="10"/>
  <c r="AF37" i="10"/>
  <c r="AF28" i="10"/>
  <c r="AF21" i="10"/>
  <c r="AF53" i="10"/>
  <c r="AF38" i="10"/>
  <c r="H134" i="7"/>
  <c r="P134" i="7" s="1"/>
  <c r="H164" i="7"/>
  <c r="P164" i="7" s="1"/>
  <c r="H86" i="7"/>
  <c r="P86" i="7" s="1"/>
  <c r="H13" i="7"/>
  <c r="P13" i="7" s="1"/>
  <c r="H99" i="7"/>
  <c r="P99" i="7" s="1"/>
  <c r="H165" i="7"/>
  <c r="P165" i="7" s="1"/>
  <c r="H62" i="7"/>
  <c r="P62" i="7" s="1"/>
  <c r="H83" i="7"/>
  <c r="P83" i="7" s="1"/>
  <c r="H47" i="7"/>
  <c r="P47" i="7" s="1"/>
  <c r="H11" i="7"/>
  <c r="P11" i="7" s="1"/>
  <c r="H137" i="7"/>
  <c r="P137" i="7" s="1"/>
  <c r="H52" i="7"/>
  <c r="P52" i="7" s="1"/>
  <c r="H6" i="7"/>
  <c r="P6" i="7" s="1"/>
  <c r="H59" i="7"/>
  <c r="P59" i="7" s="1"/>
  <c r="AG50" i="5"/>
  <c r="AG82" i="5"/>
  <c r="AF168" i="5"/>
  <c r="AG102" i="5"/>
  <c r="AG127" i="5"/>
  <c r="AG136" i="5"/>
  <c r="AG140" i="5"/>
  <c r="AG154" i="5"/>
  <c r="H110" i="7"/>
  <c r="P110" i="7" s="1"/>
  <c r="H115" i="7"/>
  <c r="P115" i="7" s="1"/>
  <c r="H145" i="7"/>
  <c r="P145" i="7" s="1"/>
  <c r="H126" i="7"/>
  <c r="P126" i="7" s="1"/>
  <c r="H108" i="7"/>
  <c r="P108" i="7" s="1"/>
  <c r="H105" i="7"/>
  <c r="P105" i="7" s="1"/>
  <c r="H57" i="7"/>
  <c r="P57" i="7" s="1"/>
  <c r="H121" i="7"/>
  <c r="P121" i="7" s="1"/>
  <c r="H31" i="7"/>
  <c r="P31" i="7" s="1"/>
  <c r="H5" i="7"/>
  <c r="P5" i="7" s="1"/>
  <c r="H89" i="7"/>
  <c r="P89" i="7" s="1"/>
  <c r="H111" i="7"/>
  <c r="P111" i="7" s="1"/>
  <c r="H120" i="7"/>
  <c r="P120" i="7" s="1"/>
  <c r="H61" i="7"/>
  <c r="P61" i="7" s="1"/>
  <c r="H56" i="7"/>
  <c r="P56" i="7" s="1"/>
  <c r="Z172" i="5"/>
  <c r="X173" i="5"/>
  <c r="W174" i="5"/>
  <c r="X170" i="5"/>
  <c r="H146" i="7"/>
  <c r="P146" i="7" s="1"/>
  <c r="H75" i="7"/>
  <c r="P75" i="7" s="1"/>
  <c r="H23" i="7"/>
  <c r="P23" i="7" s="1"/>
  <c r="H49" i="7"/>
  <c r="P49" i="7" s="1"/>
  <c r="H117" i="7"/>
  <c r="P117" i="7" s="1"/>
  <c r="H141" i="7"/>
  <c r="P141" i="7" s="1"/>
  <c r="H133" i="7"/>
  <c r="P133" i="7" s="1"/>
  <c r="H63" i="7"/>
  <c r="P63" i="7" s="1"/>
  <c r="H116" i="7"/>
  <c r="P116" i="7" s="1"/>
  <c r="H124" i="7"/>
  <c r="P124" i="7" s="1"/>
  <c r="H136" i="7"/>
  <c r="P136" i="7" s="1"/>
  <c r="H70" i="7"/>
  <c r="P70" i="7" s="1"/>
  <c r="H80" i="7"/>
  <c r="P80" i="7" s="1"/>
  <c r="H35" i="7"/>
  <c r="P35" i="7" s="1"/>
  <c r="H8" i="7"/>
  <c r="P8" i="7" s="1"/>
  <c r="H20" i="7"/>
  <c r="P20" i="7" s="1"/>
  <c r="AG23" i="5"/>
  <c r="AG29" i="5"/>
  <c r="AG48" i="5"/>
  <c r="AG71" i="5"/>
  <c r="AG80" i="5"/>
  <c r="AG84" i="5"/>
  <c r="AG86" i="5"/>
  <c r="AG111" i="5"/>
  <c r="AG122" i="5"/>
  <c r="AG134" i="5"/>
  <c r="AG143" i="5"/>
  <c r="AG152" i="5"/>
  <c r="AG156" i="5"/>
  <c r="AE172" i="5"/>
  <c r="Z173" i="5"/>
  <c r="H155" i="7"/>
  <c r="P155" i="7" s="1"/>
  <c r="H58" i="7"/>
  <c r="P58" i="7" s="1"/>
  <c r="H98" i="7"/>
  <c r="P98" i="7" s="1"/>
  <c r="H162" i="7"/>
  <c r="P162" i="7" s="1"/>
  <c r="H82" i="7"/>
  <c r="P82" i="7" s="1"/>
  <c r="H37" i="7"/>
  <c r="P37" i="7" s="1"/>
  <c r="H65" i="7"/>
  <c r="P65" i="7" s="1"/>
  <c r="H24" i="7"/>
  <c r="P24" i="7" s="1"/>
  <c r="H16" i="7"/>
  <c r="P16" i="7" s="1"/>
  <c r="H132" i="7"/>
  <c r="P132" i="7" s="1"/>
  <c r="H55" i="7"/>
  <c r="P55" i="7" s="1"/>
  <c r="H159" i="7"/>
  <c r="P159" i="7" s="1"/>
  <c r="H68" i="7"/>
  <c r="P68" i="7" s="1"/>
  <c r="H21" i="7"/>
  <c r="P21" i="7" s="1"/>
  <c r="H46" i="7"/>
  <c r="P46" i="7" s="1"/>
  <c r="H127" i="7"/>
  <c r="P127" i="7" s="1"/>
  <c r="H158" i="7"/>
  <c r="P158" i="7" s="1"/>
  <c r="H77" i="7"/>
  <c r="P77" i="7" s="1"/>
  <c r="H96" i="7"/>
  <c r="P96" i="7" s="1"/>
  <c r="H17" i="7"/>
  <c r="P17" i="7" s="1"/>
  <c r="AG15" i="5"/>
  <c r="AG21" i="5"/>
  <c r="AG26" i="5"/>
  <c r="AG54" i="5"/>
  <c r="AG74" i="5"/>
  <c r="AG109" i="5"/>
  <c r="AG114" i="5"/>
  <c r="AG132" i="5"/>
  <c r="AG146" i="5"/>
  <c r="AA173" i="5"/>
  <c r="I170" i="5"/>
  <c r="Q170" i="5"/>
  <c r="Z174" i="5"/>
  <c r="H154" i="7"/>
  <c r="P154" i="7" s="1"/>
  <c r="H122" i="7"/>
  <c r="P122" i="7" s="1"/>
  <c r="H90" i="7"/>
  <c r="P90" i="7" s="1"/>
  <c r="H123" i="7"/>
  <c r="P123" i="7" s="1"/>
  <c r="H67" i="7"/>
  <c r="P67" i="7" s="1"/>
  <c r="H147" i="7"/>
  <c r="P147" i="7" s="1"/>
  <c r="H92" i="7"/>
  <c r="P92" i="7" s="1"/>
  <c r="H130" i="7"/>
  <c r="P130" i="7" s="1"/>
  <c r="H44" i="7"/>
  <c r="P44" i="7" s="1"/>
  <c r="H94" i="7"/>
  <c r="P94" i="7" s="1"/>
  <c r="H51" i="7"/>
  <c r="P51" i="7" s="1"/>
  <c r="H135" i="7"/>
  <c r="P135" i="7" s="1"/>
  <c r="H60" i="7"/>
  <c r="P60" i="7" s="1"/>
  <c r="H25" i="7"/>
  <c r="P25" i="7" s="1"/>
  <c r="H150" i="7"/>
  <c r="P150" i="7" s="1"/>
  <c r="H29" i="7"/>
  <c r="P29" i="7" s="1"/>
  <c r="H87" i="7"/>
  <c r="P87" i="7" s="1"/>
  <c r="H144" i="7"/>
  <c r="P144" i="7" s="1"/>
  <c r="H81" i="7"/>
  <c r="P81" i="7" s="1"/>
  <c r="H93" i="7"/>
  <c r="P93" i="7" s="1"/>
  <c r="H112" i="7"/>
  <c r="P112" i="7" s="1"/>
  <c r="H30" i="7"/>
  <c r="P30" i="7" s="1"/>
  <c r="H14" i="7"/>
  <c r="P14" i="7" s="1"/>
  <c r="H161" i="7"/>
  <c r="P161" i="7" s="1"/>
  <c r="H15" i="7"/>
  <c r="P15" i="7" s="1"/>
  <c r="H10" i="7"/>
  <c r="P10" i="7" s="1"/>
  <c r="H18" i="7"/>
  <c r="P18" i="7" s="1"/>
  <c r="H85" i="7"/>
  <c r="P85" i="7" s="1"/>
  <c r="H73" i="7"/>
  <c r="P73" i="7" s="1"/>
  <c r="H156" i="7"/>
  <c r="P156" i="7" s="1"/>
  <c r="H151" i="7"/>
  <c r="P151" i="7" s="1"/>
  <c r="H167" i="7"/>
  <c r="P167" i="7" s="1"/>
  <c r="H166" i="7"/>
  <c r="P166" i="7" s="1"/>
  <c r="H97" i="7"/>
  <c r="P97" i="7" s="1"/>
  <c r="H109" i="7"/>
  <c r="P109" i="7" s="1"/>
  <c r="H128" i="7"/>
  <c r="P128" i="7" s="1"/>
  <c r="H41" i="7"/>
  <c r="P41" i="7" s="1"/>
  <c r="H27" i="7"/>
  <c r="P27" i="7" s="1"/>
  <c r="H28" i="7"/>
  <c r="P28" i="7" s="1"/>
  <c r="AG5" i="5"/>
  <c r="AB168" i="5"/>
  <c r="AG24" i="5"/>
  <c r="AG38" i="5"/>
  <c r="AG63" i="5"/>
  <c r="AG72" i="5"/>
  <c r="AG76" i="5"/>
  <c r="AG87" i="5"/>
  <c r="AG93" i="5"/>
  <c r="AG98" i="5"/>
  <c r="AG112" i="5"/>
  <c r="AG126" i="5"/>
  <c r="AC131" i="5"/>
  <c r="AG135" i="5"/>
  <c r="AG144" i="5"/>
  <c r="AG148" i="5"/>
  <c r="AG162" i="5"/>
  <c r="V174" i="5"/>
  <c r="H148" i="7"/>
  <c r="P148" i="7" s="1"/>
  <c r="H107" i="7"/>
  <c r="P107" i="7" s="1"/>
  <c r="H78" i="7"/>
  <c r="P78" i="7" s="1"/>
  <c r="H131" i="7"/>
  <c r="P131" i="7" s="1"/>
  <c r="H33" i="7"/>
  <c r="P33" i="7" s="1"/>
  <c r="H26" i="7"/>
  <c r="P26" i="7" s="1"/>
  <c r="H103" i="7"/>
  <c r="P103" i="7" s="1"/>
  <c r="H100" i="7"/>
  <c r="P100" i="7" s="1"/>
  <c r="H34" i="7"/>
  <c r="P34" i="7" s="1"/>
  <c r="H160" i="7"/>
  <c r="P160" i="7" s="1"/>
  <c r="H64" i="7"/>
  <c r="P64" i="7" s="1"/>
  <c r="H72" i="7"/>
  <c r="P72" i="7" s="1"/>
  <c r="H113" i="7"/>
  <c r="P113" i="7" s="1"/>
  <c r="H125" i="7"/>
  <c r="P125" i="7" s="1"/>
  <c r="H142" i="7"/>
  <c r="P142" i="7" s="1"/>
  <c r="H12" i="7"/>
  <c r="P12" i="7" s="1"/>
  <c r="H19" i="7"/>
  <c r="P19" i="7" s="1"/>
  <c r="AG30" i="5"/>
  <c r="AG49" i="5"/>
  <c r="AG61" i="5"/>
  <c r="AG66" i="5"/>
  <c r="AG81" i="5"/>
  <c r="AG85" i="5"/>
  <c r="AG118" i="5"/>
  <c r="AG138" i="5"/>
  <c r="AG153" i="5"/>
  <c r="AG157" i="5"/>
  <c r="V172" i="5"/>
  <c r="H118" i="7"/>
  <c r="P118" i="7" s="1"/>
  <c r="H138" i="7"/>
  <c r="P138" i="7" s="1"/>
  <c r="H36" i="7"/>
  <c r="P36" i="7" s="1"/>
  <c r="H45" i="7"/>
  <c r="P45" i="7" s="1"/>
  <c r="H7" i="7"/>
  <c r="P7" i="7" s="1"/>
  <c r="H53" i="7"/>
  <c r="P53" i="7" s="1"/>
  <c r="H76" i="7"/>
  <c r="P76" i="7" s="1"/>
  <c r="H48" i="7"/>
  <c r="P48" i="7" s="1"/>
  <c r="H32" i="7"/>
  <c r="P32" i="7" s="1"/>
  <c r="H38" i="7"/>
  <c r="P38" i="7" s="1"/>
  <c r="H149" i="7"/>
  <c r="P149" i="7" s="1"/>
  <c r="H101" i="7"/>
  <c r="P101" i="7" s="1"/>
  <c r="H40" i="7"/>
  <c r="P40" i="7" s="1"/>
  <c r="H79" i="7"/>
  <c r="P79" i="7" s="1"/>
  <c r="H88" i="7"/>
  <c r="P88" i="7" s="1"/>
  <c r="H129" i="7"/>
  <c r="P129" i="7" s="1"/>
  <c r="H140" i="7"/>
  <c r="P140" i="7" s="1"/>
  <c r="H152" i="7"/>
  <c r="P152" i="7" s="1"/>
  <c r="H22" i="7"/>
  <c r="P22" i="7" s="1"/>
  <c r="H9" i="7"/>
  <c r="P9" i="7" s="1"/>
  <c r="H4" i="7"/>
  <c r="P4" i="7" s="1"/>
  <c r="H39" i="7"/>
  <c r="P39" i="7" s="1"/>
  <c r="AF167" i="5"/>
  <c r="AG58" i="5"/>
  <c r="AG96" i="5"/>
  <c r="H139" i="7"/>
  <c r="P139" i="7" s="1"/>
  <c r="H106" i="7"/>
  <c r="P106" i="7" s="1"/>
  <c r="H163" i="7"/>
  <c r="P163" i="7" s="1"/>
  <c r="H91" i="7"/>
  <c r="P91" i="7" s="1"/>
  <c r="H43" i="7"/>
  <c r="P43" i="7" s="1"/>
  <c r="H114" i="7"/>
  <c r="P114" i="7" s="1"/>
  <c r="H54" i="7"/>
  <c r="P54" i="7" s="1"/>
  <c r="H42" i="7"/>
  <c r="P42" i="7" s="1"/>
  <c r="H50" i="7"/>
  <c r="P50" i="7" s="1"/>
  <c r="H119" i="7"/>
  <c r="P119" i="7" s="1"/>
  <c r="H66" i="7"/>
  <c r="P66" i="7" s="1"/>
  <c r="H95" i="7"/>
  <c r="P95" i="7" s="1"/>
  <c r="H104" i="7"/>
  <c r="P104" i="7" s="1"/>
  <c r="H143" i="7"/>
  <c r="P143" i="7" s="1"/>
  <c r="H157" i="7"/>
  <c r="P157" i="7" s="1"/>
  <c r="H69" i="7"/>
  <c r="P69" i="7" s="1"/>
  <c r="AB173" i="5"/>
  <c r="AE175" i="5"/>
  <c r="V175" i="5"/>
  <c r="X175" i="5"/>
  <c r="AF170" i="5"/>
  <c r="AF173" i="5"/>
  <c r="W170" i="5"/>
  <c r="W175" i="5" s="1"/>
  <c r="AE173" i="5"/>
  <c r="V173" i="5"/>
  <c r="AC26" i="5"/>
  <c r="AC34" i="5"/>
  <c r="AC66" i="5"/>
  <c r="AC82" i="5"/>
  <c r="AG88" i="5"/>
  <c r="AC90" i="5"/>
  <c r="AC98" i="5"/>
  <c r="AC106" i="5"/>
  <c r="AC114" i="5"/>
  <c r="AC122" i="5"/>
  <c r="AC130" i="5"/>
  <c r="AC138" i="5"/>
  <c r="AC146" i="5"/>
  <c r="AC154" i="5"/>
  <c r="AC162" i="5"/>
  <c r="Z170" i="5"/>
  <c r="Z175" i="5" s="1"/>
  <c r="AB169" i="5"/>
  <c r="AB174" i="5" s="1"/>
  <c r="AC42" i="5"/>
  <c r="AC50" i="5"/>
  <c r="AC58" i="5"/>
  <c r="AC74" i="5"/>
  <c r="AB167" i="5"/>
  <c r="AB172" i="5" s="1"/>
  <c r="AA170" i="5"/>
  <c r="AC2" i="5"/>
  <c r="AA172" i="5"/>
  <c r="AC10" i="5"/>
  <c r="AC18" i="5"/>
  <c r="AG10" i="5"/>
  <c r="AD170" i="5"/>
  <c r="AD175" i="5" s="1"/>
  <c r="AI38" i="10" l="1"/>
  <c r="AO38" i="10" s="1"/>
  <c r="AD21" i="10"/>
  <c r="AJ21" i="10" s="1"/>
  <c r="AA12" i="10"/>
  <c r="U12" i="10"/>
  <c r="AA46" i="10"/>
  <c r="U46" i="10"/>
  <c r="AB6" i="10"/>
  <c r="V6" i="10"/>
  <c r="AB13" i="10"/>
  <c r="V13" i="10"/>
  <c r="AB56" i="10"/>
  <c r="V56" i="10"/>
  <c r="AA26" i="10"/>
  <c r="U26" i="10"/>
  <c r="AA50" i="10"/>
  <c r="U50" i="10"/>
  <c r="AA45" i="10"/>
  <c r="U45" i="10"/>
  <c r="AA34" i="10"/>
  <c r="U34" i="10"/>
  <c r="AA16" i="10"/>
  <c r="U16" i="10"/>
  <c r="AA15" i="10"/>
  <c r="U15" i="10"/>
  <c r="AA20" i="10"/>
  <c r="U20" i="10"/>
  <c r="AA62" i="10"/>
  <c r="U62" i="10"/>
  <c r="AA19" i="10"/>
  <c r="U19" i="10"/>
  <c r="U42" i="10"/>
  <c r="AA42" i="10"/>
  <c r="AA52" i="10"/>
  <c r="U52" i="10"/>
  <c r="AA33" i="10"/>
  <c r="U33" i="10"/>
  <c r="AB20" i="10"/>
  <c r="V20" i="10"/>
  <c r="AB54" i="10"/>
  <c r="V54" i="10"/>
  <c r="AB32" i="10"/>
  <c r="V32" i="10"/>
  <c r="AB41" i="10"/>
  <c r="V41" i="10"/>
  <c r="AB27" i="10"/>
  <c r="V27" i="10"/>
  <c r="V59" i="10"/>
  <c r="AB59" i="10"/>
  <c r="AB11" i="10"/>
  <c r="V11" i="10"/>
  <c r="AB14" i="10"/>
  <c r="V14" i="10"/>
  <c r="V44" i="10"/>
  <c r="AB44" i="10"/>
  <c r="V5" i="10"/>
  <c r="AB5" i="10"/>
  <c r="U11" i="10"/>
  <c r="AA11" i="10"/>
  <c r="AA29" i="10"/>
  <c r="U29" i="10"/>
  <c r="AA43" i="10"/>
  <c r="U43" i="10"/>
  <c r="AA61" i="10"/>
  <c r="U61" i="10"/>
  <c r="AB16" i="10"/>
  <c r="V16" i="10"/>
  <c r="AB26" i="10"/>
  <c r="V26" i="10"/>
  <c r="AB51" i="10"/>
  <c r="V51" i="10"/>
  <c r="U40" i="10"/>
  <c r="AA40" i="10"/>
  <c r="AA5" i="10"/>
  <c r="U5" i="10"/>
  <c r="AB22" i="10"/>
  <c r="V22" i="10"/>
  <c r="AB63" i="10"/>
  <c r="V63" i="10"/>
  <c r="U54" i="10"/>
  <c r="AA54" i="10"/>
  <c r="AB61" i="10"/>
  <c r="V61" i="10"/>
  <c r="AB47" i="10"/>
  <c r="V47" i="10"/>
  <c r="AB43" i="10"/>
  <c r="V43" i="10"/>
  <c r="AA18" i="10"/>
  <c r="U18" i="10"/>
  <c r="AA55" i="10"/>
  <c r="U55" i="10"/>
  <c r="AA10" i="10"/>
  <c r="U10" i="10"/>
  <c r="AA51" i="10"/>
  <c r="U51" i="10"/>
  <c r="AA21" i="10"/>
  <c r="U21" i="10"/>
  <c r="AA57" i="10"/>
  <c r="U57" i="10"/>
  <c r="AB31" i="10"/>
  <c r="V31" i="10"/>
  <c r="AB30" i="10"/>
  <c r="V30" i="10"/>
  <c r="AB29" i="10"/>
  <c r="V29" i="10"/>
  <c r="V12" i="10"/>
  <c r="AB12" i="10"/>
  <c r="AB35" i="10"/>
  <c r="V35" i="10"/>
  <c r="AB36" i="10"/>
  <c r="V36" i="10"/>
  <c r="AA48" i="10"/>
  <c r="U48" i="10"/>
  <c r="U9" i="10"/>
  <c r="AA9" i="10"/>
  <c r="AB8" i="10"/>
  <c r="V8" i="10"/>
  <c r="AB18" i="10"/>
  <c r="V18" i="10"/>
  <c r="AA41" i="10"/>
  <c r="U41" i="10"/>
  <c r="AA66" i="10"/>
  <c r="U66" i="10"/>
  <c r="AB23" i="10"/>
  <c r="V23" i="10"/>
  <c r="AB33" i="10"/>
  <c r="V33" i="10"/>
  <c r="AA32" i="10"/>
  <c r="U32" i="10"/>
  <c r="AA30" i="10"/>
  <c r="U30" i="10"/>
  <c r="AA67" i="10"/>
  <c r="U67" i="10"/>
  <c r="AA13" i="10"/>
  <c r="U13" i="10"/>
  <c r="AA47" i="10"/>
  <c r="U47" i="10"/>
  <c r="AA24" i="10"/>
  <c r="U24" i="10"/>
  <c r="AA38" i="10"/>
  <c r="U38" i="10"/>
  <c r="AA56" i="10"/>
  <c r="U56" i="10"/>
  <c r="AB34" i="10"/>
  <c r="V34" i="10"/>
  <c r="AB48" i="10"/>
  <c r="V48" i="10"/>
  <c r="AB15" i="10"/>
  <c r="V15" i="10"/>
  <c r="AB64" i="10"/>
  <c r="V64" i="10"/>
  <c r="AB46" i="10"/>
  <c r="V46" i="10"/>
  <c r="AB58" i="10"/>
  <c r="V58" i="10"/>
  <c r="AA14" i="10"/>
  <c r="U14" i="10"/>
  <c r="AB17" i="10"/>
  <c r="V17" i="10"/>
  <c r="AA39" i="10"/>
  <c r="U39" i="10"/>
  <c r="AB65" i="10"/>
  <c r="V65" i="10"/>
  <c r="AA53" i="10"/>
  <c r="U53" i="10"/>
  <c r="AA37" i="10"/>
  <c r="U37" i="10"/>
  <c r="AB10" i="10"/>
  <c r="V10" i="10"/>
  <c r="V19" i="10"/>
  <c r="AB19" i="10"/>
  <c r="AB57" i="10"/>
  <c r="V57" i="10"/>
  <c r="AA8" i="10"/>
  <c r="U8" i="10"/>
  <c r="U65" i="10"/>
  <c r="AA65" i="10"/>
  <c r="AA31" i="10"/>
  <c r="U31" i="10"/>
  <c r="AA23" i="10"/>
  <c r="U23" i="10"/>
  <c r="AA60" i="10"/>
  <c r="U60" i="10"/>
  <c r="AA6" i="10"/>
  <c r="U6" i="10"/>
  <c r="AA63" i="10"/>
  <c r="U63" i="10"/>
  <c r="U28" i="10"/>
  <c r="AA28" i="10"/>
  <c r="AA59" i="10"/>
  <c r="U59" i="10"/>
  <c r="AA44" i="10"/>
  <c r="U44" i="10"/>
  <c r="AA22" i="10"/>
  <c r="U22" i="10"/>
  <c r="AA49" i="10"/>
  <c r="U49" i="10"/>
  <c r="AB42" i="10"/>
  <c r="V42" i="10"/>
  <c r="AB9" i="10"/>
  <c r="V9" i="10"/>
  <c r="AB49" i="10"/>
  <c r="V49" i="10"/>
  <c r="AB37" i="10"/>
  <c r="V37" i="10"/>
  <c r="AB24" i="10"/>
  <c r="V24" i="10"/>
  <c r="AB39" i="10"/>
  <c r="V39" i="10"/>
  <c r="AB60" i="10"/>
  <c r="V60" i="10"/>
  <c r="AB25" i="10"/>
  <c r="V25" i="10"/>
  <c r="AA17" i="10"/>
  <c r="U17" i="10"/>
  <c r="AA7" i="10"/>
  <c r="U7" i="10"/>
  <c r="AB67" i="10"/>
  <c r="V67" i="10"/>
  <c r="AB62" i="10"/>
  <c r="V62" i="10"/>
  <c r="AB66" i="10"/>
  <c r="V66" i="10"/>
  <c r="AB40" i="10"/>
  <c r="V40" i="10"/>
  <c r="AB55" i="10"/>
  <c r="V55" i="10"/>
  <c r="AA27" i="10"/>
  <c r="U27" i="10"/>
  <c r="AA64" i="10"/>
  <c r="U64" i="10"/>
  <c r="AA58" i="10"/>
  <c r="U58" i="10"/>
  <c r="AA25" i="10"/>
  <c r="U25" i="10"/>
  <c r="AA36" i="10"/>
  <c r="U36" i="10"/>
  <c r="AA35" i="10"/>
  <c r="U35" i="10"/>
  <c r="AB52" i="10"/>
  <c r="V52" i="10"/>
  <c r="AB53" i="10"/>
  <c r="V53" i="10"/>
  <c r="AB28" i="10"/>
  <c r="V28" i="10"/>
  <c r="AB45" i="10"/>
  <c r="V45" i="10"/>
  <c r="AB21" i="10"/>
  <c r="V21" i="10"/>
  <c r="AB50" i="10"/>
  <c r="V50" i="10"/>
  <c r="AB7" i="10"/>
  <c r="V7" i="10"/>
  <c r="AB38" i="10"/>
  <c r="V38" i="10"/>
  <c r="AE7" i="10"/>
  <c r="AK7" i="10" s="1"/>
  <c r="AR19" i="10"/>
  <c r="BJ19" i="10" s="1"/>
  <c r="AD41" i="10"/>
  <c r="AJ41" i="10" s="1"/>
  <c r="AD61" i="10"/>
  <c r="AJ61" i="10" s="1"/>
  <c r="AR29" i="10"/>
  <c r="BJ29" i="10" s="1"/>
  <c r="AR13" i="10"/>
  <c r="BD13" i="10" s="1"/>
  <c r="AE45" i="10"/>
  <c r="AK45" i="10" s="1"/>
  <c r="AD62" i="10"/>
  <c r="AJ62" i="10" s="1"/>
  <c r="AD38" i="10"/>
  <c r="AJ38" i="10" s="1"/>
  <c r="AR27" i="10"/>
  <c r="BD27" i="10" s="1"/>
  <c r="AR40" i="10"/>
  <c r="BJ40" i="10" s="1"/>
  <c r="AD59" i="10"/>
  <c r="AJ59" i="10" s="1"/>
  <c r="AR22" i="10"/>
  <c r="AX22" i="10" s="1"/>
  <c r="AR64" i="10"/>
  <c r="BJ64" i="10" s="1"/>
  <c r="AD18" i="10"/>
  <c r="AJ18" i="10" s="1"/>
  <c r="AR42" i="10"/>
  <c r="BJ42" i="10" s="1"/>
  <c r="AR12" i="10"/>
  <c r="AX12" i="10" s="1"/>
  <c r="AR49" i="10"/>
  <c r="BJ49" i="10" s="1"/>
  <c r="AR60" i="10"/>
  <c r="BD60" i="10" s="1"/>
  <c r="AR65" i="10"/>
  <c r="BD65" i="10" s="1"/>
  <c r="AR18" i="10"/>
  <c r="BJ18" i="10" s="1"/>
  <c r="AR39" i="10"/>
  <c r="BJ39" i="10" s="1"/>
  <c r="AR51" i="10"/>
  <c r="AX51" i="10" s="1"/>
  <c r="AR8" i="10"/>
  <c r="AX8" i="10" s="1"/>
  <c r="AI50" i="10"/>
  <c r="AO50" i="10" s="1"/>
  <c r="AI10" i="10"/>
  <c r="AO10" i="10" s="1"/>
  <c r="AR36" i="10"/>
  <c r="AX36" i="10" s="1"/>
  <c r="AD13" i="10"/>
  <c r="AJ13" i="10" s="1"/>
  <c r="AI16" i="10"/>
  <c r="AO16" i="10" s="1"/>
  <c r="AE65" i="10"/>
  <c r="AK65" i="10" s="1"/>
  <c r="AR11" i="10"/>
  <c r="BJ11" i="10" s="1"/>
  <c r="AE57" i="10"/>
  <c r="AK57" i="10" s="1"/>
  <c r="AE18" i="10"/>
  <c r="AK18" i="10" s="1"/>
  <c r="AD43" i="10"/>
  <c r="AJ43" i="10" s="1"/>
  <c r="AE55" i="10"/>
  <c r="AK55" i="10" s="1"/>
  <c r="AD29" i="10"/>
  <c r="AJ29" i="10" s="1"/>
  <c r="AE19" i="10"/>
  <c r="AK19" i="10" s="1"/>
  <c r="AD27" i="10"/>
  <c r="AJ27" i="10" s="1"/>
  <c r="AD63" i="10"/>
  <c r="AJ63" i="10" s="1"/>
  <c r="AD67" i="10"/>
  <c r="AJ67" i="10" s="1"/>
  <c r="AE27" i="10"/>
  <c r="AK27" i="10" s="1"/>
  <c r="AE63" i="10"/>
  <c r="AK63" i="10" s="1"/>
  <c r="AE6" i="10"/>
  <c r="AK6" i="10" s="1"/>
  <c r="AE34" i="10"/>
  <c r="AK34" i="10" s="1"/>
  <c r="AR52" i="10"/>
  <c r="BD52" i="10" s="1"/>
  <c r="AI14" i="10"/>
  <c r="AO14" i="10" s="1"/>
  <c r="AI36" i="10"/>
  <c r="AO36" i="10" s="1"/>
  <c r="AI15" i="10"/>
  <c r="AO15" i="10" s="1"/>
  <c r="AD22" i="10"/>
  <c r="AJ22" i="10" s="1"/>
  <c r="AD9" i="10"/>
  <c r="AJ9" i="10" s="1"/>
  <c r="AD8" i="10"/>
  <c r="AJ8" i="10" s="1"/>
  <c r="AD17" i="10"/>
  <c r="AJ17" i="10" s="1"/>
  <c r="AD66" i="10"/>
  <c r="AJ66" i="10" s="1"/>
  <c r="AE22" i="10"/>
  <c r="AK22" i="10" s="1"/>
  <c r="AE23" i="10"/>
  <c r="AK23" i="10" s="1"/>
  <c r="AI9" i="10"/>
  <c r="AO9" i="10" s="1"/>
  <c r="AE5" i="10"/>
  <c r="AK5" i="10" s="1"/>
  <c r="AI53" i="10"/>
  <c r="AO53" i="10" s="1"/>
  <c r="AD32" i="10"/>
  <c r="AJ32" i="10" s="1"/>
  <c r="AI56" i="10"/>
  <c r="AO56" i="10" s="1"/>
  <c r="AD57" i="10"/>
  <c r="AJ57" i="10" s="1"/>
  <c r="AD39" i="10"/>
  <c r="AJ39" i="10" s="1"/>
  <c r="AD37" i="10"/>
  <c r="AJ37" i="10" s="1"/>
  <c r="AE50" i="10"/>
  <c r="AK50" i="10" s="1"/>
  <c r="AE37" i="10"/>
  <c r="AK37" i="10" s="1"/>
  <c r="AE15" i="10"/>
  <c r="AK15" i="10" s="1"/>
  <c r="AQ15" i="10" s="1"/>
  <c r="AE29" i="10"/>
  <c r="AK29" i="10" s="1"/>
  <c r="AI20" i="10"/>
  <c r="AO20" i="10" s="1"/>
  <c r="AE35" i="10"/>
  <c r="AK35" i="10" s="1"/>
  <c r="AI41" i="10"/>
  <c r="AO41" i="10" s="1"/>
  <c r="AI64" i="10"/>
  <c r="AO64" i="10" s="1"/>
  <c r="AI19" i="10"/>
  <c r="AO19" i="10" s="1"/>
  <c r="AI40" i="10"/>
  <c r="AO40" i="10" s="1"/>
  <c r="AE11" i="10"/>
  <c r="AK11" i="10" s="1"/>
  <c r="AI59" i="10"/>
  <c r="AO59" i="10" s="1"/>
  <c r="AD49" i="10"/>
  <c r="AJ49" i="10" s="1"/>
  <c r="AD5" i="10"/>
  <c r="AJ5" i="10" s="1"/>
  <c r="AP5" i="10" s="1"/>
  <c r="AE42" i="10"/>
  <c r="AK42" i="10" s="1"/>
  <c r="AE64" i="10"/>
  <c r="AK64" i="10" s="1"/>
  <c r="AE53" i="10"/>
  <c r="AK53" i="10" s="1"/>
  <c r="AE67" i="10"/>
  <c r="AK67" i="10" s="1"/>
  <c r="AI44" i="10"/>
  <c r="AO44" i="10" s="1"/>
  <c r="AI48" i="10"/>
  <c r="AO48" i="10" s="1"/>
  <c r="AI6" i="10"/>
  <c r="AO6" i="10" s="1"/>
  <c r="AI65" i="10"/>
  <c r="AO65" i="10" s="1"/>
  <c r="AE12" i="10"/>
  <c r="AI25" i="10"/>
  <c r="AI29" i="10"/>
  <c r="AI22" i="10"/>
  <c r="AL21" i="10"/>
  <c r="AD45" i="10"/>
  <c r="AE56" i="10"/>
  <c r="AI30" i="10"/>
  <c r="AL25" i="10"/>
  <c r="AR25" i="10" s="1"/>
  <c r="AL33" i="10"/>
  <c r="AR33" i="10" s="1"/>
  <c r="AI32" i="10"/>
  <c r="AL10" i="10"/>
  <c r="AL24" i="10"/>
  <c r="AL28" i="10"/>
  <c r="AL32" i="10"/>
  <c r="AL5" i="10"/>
  <c r="AL26" i="10"/>
  <c r="AL55" i="10"/>
  <c r="AI24" i="10"/>
  <c r="AD64" i="10"/>
  <c r="AE49" i="10"/>
  <c r="AE36" i="10"/>
  <c r="AR59" i="10"/>
  <c r="BD59" i="10" s="1"/>
  <c r="AI33" i="10"/>
  <c r="AI17" i="10"/>
  <c r="AD51" i="10"/>
  <c r="AD34" i="10"/>
  <c r="AL38" i="10"/>
  <c r="AI47" i="10"/>
  <c r="AI60" i="10"/>
  <c r="AE13" i="10"/>
  <c r="AL41" i="10"/>
  <c r="AL62" i="10"/>
  <c r="AR62" i="10" s="1"/>
  <c r="AE48" i="10"/>
  <c r="AD6" i="10"/>
  <c r="AD50" i="10"/>
  <c r="AR67" i="10"/>
  <c r="BJ67" i="10" s="1"/>
  <c r="AI5" i="10"/>
  <c r="AD48" i="10"/>
  <c r="AE30" i="10"/>
  <c r="AE33" i="10"/>
  <c r="AE16" i="10"/>
  <c r="AL34" i="10"/>
  <c r="AD14" i="10"/>
  <c r="AD36" i="10"/>
  <c r="AE52" i="10"/>
  <c r="AE58" i="10"/>
  <c r="AI57" i="10"/>
  <c r="AL66" i="10"/>
  <c r="AE24" i="10"/>
  <c r="AE8" i="10"/>
  <c r="AI61" i="10"/>
  <c r="AI31" i="10"/>
  <c r="AI23" i="10"/>
  <c r="AL46" i="10"/>
  <c r="AD52" i="10"/>
  <c r="AD65" i="10"/>
  <c r="AE26" i="10"/>
  <c r="AE61" i="10"/>
  <c r="AD33" i="10"/>
  <c r="AD10" i="10"/>
  <c r="AE41" i="10"/>
  <c r="AR6" i="10"/>
  <c r="BJ6" i="10" s="1"/>
  <c r="AI62" i="10"/>
  <c r="AD60" i="10"/>
  <c r="AD20" i="10"/>
  <c r="AI21" i="10"/>
  <c r="AI39" i="10"/>
  <c r="AI43" i="10"/>
  <c r="AL53" i="10"/>
  <c r="AD15" i="10"/>
  <c r="AE60" i="10"/>
  <c r="AL14" i="10"/>
  <c r="AE20" i="10"/>
  <c r="AI37" i="10"/>
  <c r="AD24" i="10"/>
  <c r="AL56" i="10"/>
  <c r="AI46" i="10"/>
  <c r="AI42" i="10"/>
  <c r="AL15" i="10"/>
  <c r="AE44" i="10"/>
  <c r="AD35" i="10"/>
  <c r="AE9" i="10"/>
  <c r="AI45" i="10"/>
  <c r="AI26" i="10"/>
  <c r="AL16" i="10"/>
  <c r="AD44" i="10"/>
  <c r="AE17" i="10"/>
  <c r="AL35" i="10"/>
  <c r="AL31" i="10"/>
  <c r="AR50" i="10"/>
  <c r="BJ50" i="10" s="1"/>
  <c r="AD46" i="10"/>
  <c r="AD56" i="10"/>
  <c r="AE10" i="10"/>
  <c r="AR54" i="10"/>
  <c r="BJ54" i="10" s="1"/>
  <c r="AL61" i="10"/>
  <c r="AI12" i="10"/>
  <c r="AL20" i="10"/>
  <c r="AD31" i="10"/>
  <c r="AL57" i="10"/>
  <c r="AR57" i="10" s="1"/>
  <c r="AE54" i="10"/>
  <c r="AR43" i="10"/>
  <c r="BD43" i="10" s="1"/>
  <c r="AI13" i="10"/>
  <c r="AI55" i="10"/>
  <c r="AR17" i="10"/>
  <c r="BJ17" i="10" s="1"/>
  <c r="AD25" i="10"/>
  <c r="AI49" i="10"/>
  <c r="AE32" i="10"/>
  <c r="AE47" i="10"/>
  <c r="AL58" i="10"/>
  <c r="AL63" i="10"/>
  <c r="AD19" i="10"/>
  <c r="AD42" i="10"/>
  <c r="AI51" i="10"/>
  <c r="AI8" i="10"/>
  <c r="AL23" i="10"/>
  <c r="AD23" i="10"/>
  <c r="AD40" i="10"/>
  <c r="AD58" i="10"/>
  <c r="AR47" i="10"/>
  <c r="BJ47" i="10" s="1"/>
  <c r="AE40" i="10"/>
  <c r="AE43" i="10"/>
  <c r="AE21" i="10"/>
  <c r="AL9" i="10"/>
  <c r="AL44" i="10"/>
  <c r="AE28" i="10"/>
  <c r="AE46" i="10"/>
  <c r="AI18" i="10"/>
  <c r="AD54" i="10"/>
  <c r="AD16" i="10"/>
  <c r="AL37" i="10"/>
  <c r="AI35" i="10"/>
  <c r="AI27" i="10"/>
  <c r="AI54" i="10"/>
  <c r="AI34" i="10"/>
  <c r="AL30" i="10"/>
  <c r="AD28" i="10"/>
  <c r="AD12" i="10"/>
  <c r="AD55" i="10"/>
  <c r="AD53" i="10"/>
  <c r="AE66" i="10"/>
  <c r="AD7" i="10"/>
  <c r="AE38" i="10"/>
  <c r="AE51" i="10"/>
  <c r="AR45" i="10"/>
  <c r="BJ45" i="10" s="1"/>
  <c r="AI28" i="10"/>
  <c r="AD30" i="10"/>
  <c r="AE62" i="10"/>
  <c r="AE39" i="10"/>
  <c r="AE14" i="10"/>
  <c r="AE59" i="10"/>
  <c r="AI7" i="10"/>
  <c r="AI11" i="10"/>
  <c r="AD11" i="10"/>
  <c r="AD26" i="10"/>
  <c r="AI58" i="10"/>
  <c r="AI66" i="10"/>
  <c r="AL7" i="10"/>
  <c r="AR48" i="10"/>
  <c r="BD48" i="10" s="1"/>
  <c r="AI67" i="10"/>
  <c r="AI63" i="10"/>
  <c r="AD47" i="10"/>
  <c r="AE31" i="10"/>
  <c r="AE25" i="10"/>
  <c r="AI52" i="10"/>
  <c r="AF172" i="5"/>
  <c r="AF174" i="5"/>
  <c r="AA175" i="5"/>
  <c r="AB170" i="5"/>
  <c r="AB175" i="5" s="1"/>
  <c r="AF175" i="5"/>
  <c r="AH28" i="10" l="1"/>
  <c r="AN28" i="10" s="1"/>
  <c r="AG50" i="10"/>
  <c r="AM50" i="10" s="1"/>
  <c r="AG54" i="10"/>
  <c r="AM54" i="10" s="1"/>
  <c r="AH23" i="10"/>
  <c r="AN23" i="10" s="1"/>
  <c r="BJ27" i="10"/>
  <c r="BJ13" i="10"/>
  <c r="BD36" i="10"/>
  <c r="BD8" i="10"/>
  <c r="AX19" i="10"/>
  <c r="BD19" i="10"/>
  <c r="AX39" i="10"/>
  <c r="BD39" i="10"/>
  <c r="AX59" i="10"/>
  <c r="BJ22" i="10"/>
  <c r="BJ59" i="10"/>
  <c r="BJ8" i="10"/>
  <c r="BJ65" i="10"/>
  <c r="BD12" i="10"/>
  <c r="AX64" i="10"/>
  <c r="BD40" i="10"/>
  <c r="AG21" i="10"/>
  <c r="AM21" i="10" s="1"/>
  <c r="BJ36" i="10"/>
  <c r="BD67" i="10"/>
  <c r="BD64" i="10"/>
  <c r="BJ60" i="10"/>
  <c r="BJ43" i="10"/>
  <c r="BD51" i="10"/>
  <c r="BD22" i="10"/>
  <c r="AP57" i="10"/>
  <c r="BB57" i="10" s="1"/>
  <c r="AP8" i="10"/>
  <c r="BB8" i="10" s="1"/>
  <c r="AP29" i="10"/>
  <c r="BB29" i="10" s="1"/>
  <c r="AU14" i="10"/>
  <c r="AQ19" i="10"/>
  <c r="AQ23" i="10"/>
  <c r="BI23" i="10" s="1"/>
  <c r="AP67" i="10"/>
  <c r="BH67" i="10" s="1"/>
  <c r="AR37" i="10"/>
  <c r="AX37" i="10" s="1"/>
  <c r="AQ18" i="10"/>
  <c r="AW18" i="10" s="1"/>
  <c r="AP13" i="10"/>
  <c r="BH13" i="10" s="1"/>
  <c r="AU41" i="10"/>
  <c r="BA41" i="10" s="1"/>
  <c r="AQ6" i="10"/>
  <c r="BC6" i="10" s="1"/>
  <c r="BJ52" i="10"/>
  <c r="BJ48" i="10"/>
  <c r="AU19" i="10"/>
  <c r="BM19" i="10" s="1"/>
  <c r="AR31" i="10"/>
  <c r="AX31" i="10" s="1"/>
  <c r="AR16" i="10"/>
  <c r="BJ16" i="10" s="1"/>
  <c r="AR53" i="10"/>
  <c r="BD53" i="10" s="1"/>
  <c r="AR26" i="10"/>
  <c r="AX26" i="10" s="1"/>
  <c r="BJ33" i="10"/>
  <c r="AX33" i="10"/>
  <c r="BD33" i="10"/>
  <c r="AU64" i="10"/>
  <c r="BM64" i="10" s="1"/>
  <c r="AP32" i="10"/>
  <c r="BH32" i="10" s="1"/>
  <c r="AX6" i="10"/>
  <c r="BJ51" i="10"/>
  <c r="AX67" i="10"/>
  <c r="AX11" i="10"/>
  <c r="BJ12" i="10"/>
  <c r="AR63" i="10"/>
  <c r="BJ63" i="10" s="1"/>
  <c r="AR35" i="10"/>
  <c r="AP62" i="10"/>
  <c r="AU48" i="10"/>
  <c r="AP39" i="10"/>
  <c r="BH39" i="10" s="1"/>
  <c r="BJ62" i="10"/>
  <c r="BD62" i="10"/>
  <c r="AX62" i="10"/>
  <c r="AQ7" i="10"/>
  <c r="BC7" i="10" s="1"/>
  <c r="AU6" i="10"/>
  <c r="BM6" i="10" s="1"/>
  <c r="AQ67" i="10"/>
  <c r="BI67" i="10" s="1"/>
  <c r="AX45" i="10"/>
  <c r="BD6" i="10"/>
  <c r="AX54" i="10"/>
  <c r="BD11" i="10"/>
  <c r="AX47" i="10"/>
  <c r="AR23" i="10"/>
  <c r="AX23" i="10" s="1"/>
  <c r="AQ11" i="10"/>
  <c r="BI11" i="10" s="1"/>
  <c r="AR58" i="10"/>
  <c r="BD58" i="10" s="1"/>
  <c r="AQ5" i="10"/>
  <c r="AW5" i="10" s="1"/>
  <c r="AQ65" i="10"/>
  <c r="BC65" i="10" s="1"/>
  <c r="AR56" i="10"/>
  <c r="BD56" i="10" s="1"/>
  <c r="AR41" i="10"/>
  <c r="BD41" i="10" s="1"/>
  <c r="AU36" i="10"/>
  <c r="BG36" i="10" s="1"/>
  <c r="AP66" i="10"/>
  <c r="BB66" i="10" s="1"/>
  <c r="AP63" i="10"/>
  <c r="BH63" i="10" s="1"/>
  <c r="BJ25" i="10"/>
  <c r="BD25" i="10"/>
  <c r="AX25" i="10"/>
  <c r="AQ53" i="10"/>
  <c r="BC53" i="10" s="1"/>
  <c r="BD45" i="10"/>
  <c r="BD54" i="10"/>
  <c r="AX49" i="10"/>
  <c r="AX42" i="10"/>
  <c r="AX29" i="10"/>
  <c r="AX17" i="10"/>
  <c r="BD47" i="10"/>
  <c r="AP49" i="10"/>
  <c r="BB49" i="10" s="1"/>
  <c r="BJ57" i="10"/>
  <c r="BD57" i="10"/>
  <c r="AX57" i="10"/>
  <c r="AR7" i="10"/>
  <c r="BD7" i="10" s="1"/>
  <c r="AU9" i="10"/>
  <c r="BG9" i="10" s="1"/>
  <c r="AQ55" i="10"/>
  <c r="AR34" i="10"/>
  <c r="BJ34" i="10" s="1"/>
  <c r="AR38" i="10"/>
  <c r="BJ38" i="10" s="1"/>
  <c r="AQ63" i="10"/>
  <c r="BC63" i="10" s="1"/>
  <c r="AX50" i="10"/>
  <c r="AX65" i="10"/>
  <c r="AX60" i="10"/>
  <c r="BD49" i="10"/>
  <c r="BD42" i="10"/>
  <c r="AX40" i="10"/>
  <c r="AX27" i="10"/>
  <c r="AX13" i="10"/>
  <c r="BD29" i="10"/>
  <c r="BD17" i="10"/>
  <c r="AU10" i="10"/>
  <c r="BG10" i="10" s="1"/>
  <c r="AQ42" i="10"/>
  <c r="BC42" i="10" s="1"/>
  <c r="AH24" i="10"/>
  <c r="AN24" i="10" s="1"/>
  <c r="AU16" i="10"/>
  <c r="BI15" i="10"/>
  <c r="BC15" i="10"/>
  <c r="AW15" i="10"/>
  <c r="AP18" i="10"/>
  <c r="BB18" i="10" s="1"/>
  <c r="AP43" i="10"/>
  <c r="BH43" i="10" s="1"/>
  <c r="AR55" i="10"/>
  <c r="BD55" i="10" s="1"/>
  <c r="AR5" i="10"/>
  <c r="BD5" i="10" s="1"/>
  <c r="AP27" i="10"/>
  <c r="BB27" i="10" s="1"/>
  <c r="AU59" i="10"/>
  <c r="BG59" i="10" s="1"/>
  <c r="AU40" i="10"/>
  <c r="BM40" i="10" s="1"/>
  <c r="AP17" i="10"/>
  <c r="BH17" i="10" s="1"/>
  <c r="AQ57" i="10"/>
  <c r="AW57" i="10" s="1"/>
  <c r="BD50" i="10"/>
  <c r="AX18" i="10"/>
  <c r="AP21" i="10"/>
  <c r="AV21" i="10" s="1"/>
  <c r="AQ35" i="10"/>
  <c r="BI35" i="10" s="1"/>
  <c r="AQ37" i="10"/>
  <c r="BI37" i="10" s="1"/>
  <c r="AR46" i="10"/>
  <c r="AX46" i="10" s="1"/>
  <c r="AQ45" i="10"/>
  <c r="AQ34" i="10"/>
  <c r="AW34" i="10" s="1"/>
  <c r="AR24" i="10"/>
  <c r="BJ24" i="10" s="1"/>
  <c r="AX52" i="10"/>
  <c r="AX48" i="10"/>
  <c r="BD18" i="10"/>
  <c r="AX43" i="10"/>
  <c r="AP41" i="10"/>
  <c r="BB41" i="10" s="1"/>
  <c r="AR61" i="10"/>
  <c r="AX61" i="10" s="1"/>
  <c r="BH5" i="10"/>
  <c r="BB5" i="10"/>
  <c r="AV5" i="10"/>
  <c r="AR15" i="10"/>
  <c r="BJ15" i="10" s="1"/>
  <c r="AU38" i="10"/>
  <c r="BM38" i="10" s="1"/>
  <c r="AQ22" i="10"/>
  <c r="AW22" i="10" s="1"/>
  <c r="AR10" i="10"/>
  <c r="BJ10" i="10" s="1"/>
  <c r="AU65" i="10"/>
  <c r="BM65" i="10" s="1"/>
  <c r="AH43" i="10"/>
  <c r="AN43" i="10" s="1"/>
  <c r="AH47" i="10"/>
  <c r="AN47" i="10" s="1"/>
  <c r="AH50" i="10"/>
  <c r="AN50" i="10" s="1"/>
  <c r="AH54" i="10"/>
  <c r="AN54" i="10" s="1"/>
  <c r="AG59" i="10"/>
  <c r="AM59" i="10" s="1"/>
  <c r="AG6" i="10"/>
  <c r="AM6" i="10" s="1"/>
  <c r="AU53" i="10"/>
  <c r="BM53" i="10" s="1"/>
  <c r="AH19" i="10"/>
  <c r="AN19" i="10" s="1"/>
  <c r="AH62" i="10"/>
  <c r="AN62" i="10" s="1"/>
  <c r="AH48" i="10"/>
  <c r="AN48" i="10" s="1"/>
  <c r="AG8" i="10"/>
  <c r="AM8" i="10" s="1"/>
  <c r="AU20" i="10"/>
  <c r="AH17" i="10"/>
  <c r="AN17" i="10" s="1"/>
  <c r="AH63" i="10"/>
  <c r="AN63" i="10" s="1"/>
  <c r="AH18" i="10"/>
  <c r="AN18" i="10" s="1"/>
  <c r="AT18" i="10" s="1"/>
  <c r="AG61" i="10"/>
  <c r="AM61" i="10" s="1"/>
  <c r="AG13" i="10"/>
  <c r="AM13" i="10" s="1"/>
  <c r="AH32" i="10"/>
  <c r="AN32" i="10" s="1"/>
  <c r="AG29" i="10"/>
  <c r="AM29" i="10" s="1"/>
  <c r="AH57" i="10"/>
  <c r="AN57" i="10" s="1"/>
  <c r="AH34" i="10"/>
  <c r="AG28" i="10"/>
  <c r="AM28" i="10" s="1"/>
  <c r="AG27" i="10"/>
  <c r="AM27" i="10" s="1"/>
  <c r="AH30" i="10"/>
  <c r="AN30" i="10" s="1"/>
  <c r="AH21" i="10"/>
  <c r="AN21" i="10" s="1"/>
  <c r="AH9" i="10"/>
  <c r="AN9" i="10" s="1"/>
  <c r="AH26" i="10"/>
  <c r="AN26" i="10" s="1"/>
  <c r="AG43" i="10"/>
  <c r="AM43" i="10" s="1"/>
  <c r="AG14" i="10"/>
  <c r="AM14" i="10" s="1"/>
  <c r="AP9" i="10"/>
  <c r="BB9" i="10" s="1"/>
  <c r="AG56" i="10"/>
  <c r="AM56" i="10" s="1"/>
  <c r="AG60" i="10"/>
  <c r="AM60" i="10" s="1"/>
  <c r="AH36" i="10"/>
  <c r="AN36" i="10" s="1"/>
  <c r="AH10" i="10"/>
  <c r="AN10" i="10" s="1"/>
  <c r="AH60" i="10"/>
  <c r="AN60" i="10" s="1"/>
  <c r="AG39" i="10"/>
  <c r="AM39" i="10" s="1"/>
  <c r="AG24" i="10"/>
  <c r="AM24" i="10" s="1"/>
  <c r="AG26" i="10"/>
  <c r="AM26" i="10" s="1"/>
  <c r="AG17" i="10"/>
  <c r="AM17" i="10" s="1"/>
  <c r="AJ12" i="10"/>
  <c r="AO54" i="10"/>
  <c r="AK40" i="10"/>
  <c r="AO8" i="10"/>
  <c r="AG10" i="10"/>
  <c r="AK47" i="10"/>
  <c r="AK54" i="10"/>
  <c r="AG33" i="10"/>
  <c r="AJ35" i="10"/>
  <c r="AG64" i="10"/>
  <c r="AK41" i="10"/>
  <c r="AK52" i="10"/>
  <c r="AJ6" i="10"/>
  <c r="AO17" i="10"/>
  <c r="AH14" i="10"/>
  <c r="AH59" i="10"/>
  <c r="AO30" i="10"/>
  <c r="AK56" i="10"/>
  <c r="AO22" i="10"/>
  <c r="AK31" i="10"/>
  <c r="AJ26" i="10"/>
  <c r="AK51" i="10"/>
  <c r="AH20" i="10"/>
  <c r="AG48" i="10"/>
  <c r="AG12" i="10"/>
  <c r="AK66" i="10"/>
  <c r="AJ28" i="10"/>
  <c r="AP28" i="10" s="1"/>
  <c r="AQ64" i="10"/>
  <c r="AR9" i="10"/>
  <c r="AG15" i="10"/>
  <c r="AG11" i="10"/>
  <c r="AJ19" i="10"/>
  <c r="AO49" i="10"/>
  <c r="AO13" i="10"/>
  <c r="AH61" i="10"/>
  <c r="AH49" i="10"/>
  <c r="AG49" i="10"/>
  <c r="AG42" i="10"/>
  <c r="AU15" i="10"/>
  <c r="AO42" i="10"/>
  <c r="AH56" i="10"/>
  <c r="AH40" i="10"/>
  <c r="AG45" i="10"/>
  <c r="AG35" i="10"/>
  <c r="AJ15" i="10"/>
  <c r="AP15" i="10" s="1"/>
  <c r="AO21" i="10"/>
  <c r="AK26" i="10"/>
  <c r="AP22" i="10"/>
  <c r="AR28" i="10"/>
  <c r="BD28" i="10" s="1"/>
  <c r="AG66" i="10"/>
  <c r="AO29" i="10"/>
  <c r="AJ11" i="10"/>
  <c r="AO11" i="10"/>
  <c r="AU11" i="10" s="1"/>
  <c r="AK38" i="10"/>
  <c r="AO27" i="10"/>
  <c r="AJ58" i="10"/>
  <c r="AP58" i="10" s="1"/>
  <c r="AO51" i="10"/>
  <c r="AK32" i="10"/>
  <c r="AK10" i="10"/>
  <c r="AO45" i="10"/>
  <c r="AO46" i="10"/>
  <c r="AO62" i="10"/>
  <c r="AJ65" i="10"/>
  <c r="AO23" i="10"/>
  <c r="AH51" i="10"/>
  <c r="AG44" i="10"/>
  <c r="AG34" i="10"/>
  <c r="AJ36" i="10"/>
  <c r="AK16" i="10"/>
  <c r="AH65" i="10"/>
  <c r="AG5" i="10"/>
  <c r="AK13" i="10"/>
  <c r="AQ13" i="10" s="1"/>
  <c r="AO33" i="10"/>
  <c r="AJ64" i="10"/>
  <c r="AO24" i="10"/>
  <c r="AH35" i="10"/>
  <c r="AH29" i="10"/>
  <c r="AH16" i="10"/>
  <c r="AO52" i="10"/>
  <c r="AO63" i="10"/>
  <c r="AJ30" i="10"/>
  <c r="AH7" i="10"/>
  <c r="AH41" i="10"/>
  <c r="AR30" i="10"/>
  <c r="BJ30" i="10" s="1"/>
  <c r="AO35" i="10"/>
  <c r="AQ50" i="10"/>
  <c r="BC50" i="10" s="1"/>
  <c r="AK46" i="10"/>
  <c r="AJ40" i="10"/>
  <c r="AG55" i="10"/>
  <c r="AG53" i="10"/>
  <c r="AJ56" i="10"/>
  <c r="AG22" i="10"/>
  <c r="AG18" i="10"/>
  <c r="AH46" i="10"/>
  <c r="AG25" i="10"/>
  <c r="AG19" i="10"/>
  <c r="AG20" i="10"/>
  <c r="AP38" i="10"/>
  <c r="AK60" i="10"/>
  <c r="AJ20" i="10"/>
  <c r="AJ10" i="10"/>
  <c r="AO31" i="10"/>
  <c r="AK8" i="10"/>
  <c r="AG31" i="10"/>
  <c r="AJ34" i="10"/>
  <c r="AU56" i="10"/>
  <c r="BM56" i="10" s="1"/>
  <c r="AH5" i="10"/>
  <c r="AG40" i="10"/>
  <c r="AG32" i="10"/>
  <c r="AO25" i="10"/>
  <c r="AK59" i="10"/>
  <c r="AJ7" i="10"/>
  <c r="AJ46" i="10"/>
  <c r="AJ33" i="10"/>
  <c r="AK24" i="10"/>
  <c r="AJ14" i="10"/>
  <c r="AK33" i="10"/>
  <c r="AK36" i="10"/>
  <c r="AJ45" i="10"/>
  <c r="AJ47" i="10"/>
  <c r="AP47" i="10" s="1"/>
  <c r="AO67" i="10"/>
  <c r="AO7" i="10"/>
  <c r="AK14" i="10"/>
  <c r="AO28" i="10"/>
  <c r="AG37" i="10"/>
  <c r="AG41" i="10"/>
  <c r="AO18" i="10"/>
  <c r="AK28" i="10"/>
  <c r="AJ23" i="10"/>
  <c r="AH52" i="10"/>
  <c r="AG51" i="10"/>
  <c r="AJ42" i="10"/>
  <c r="AP42" i="10" s="1"/>
  <c r="AH37" i="10"/>
  <c r="AK17" i="10"/>
  <c r="AJ44" i="10"/>
  <c r="AK9" i="10"/>
  <c r="AG36" i="10"/>
  <c r="AG58" i="10"/>
  <c r="AG62" i="10"/>
  <c r="AJ52" i="10"/>
  <c r="AO61" i="10"/>
  <c r="AK58" i="10"/>
  <c r="AK30" i="10"/>
  <c r="AJ48" i="10"/>
  <c r="AO5" i="10"/>
  <c r="AO60" i="10"/>
  <c r="AK49" i="10"/>
  <c r="AH44" i="10"/>
  <c r="AH27" i="10"/>
  <c r="AG46" i="10"/>
  <c r="AG30" i="10"/>
  <c r="AO66" i="10"/>
  <c r="AK39" i="10"/>
  <c r="AJ53" i="10"/>
  <c r="AP53" i="10" s="1"/>
  <c r="AJ16" i="10"/>
  <c r="AK21" i="10"/>
  <c r="AO37" i="10"/>
  <c r="AR14" i="10"/>
  <c r="AX14" i="10" s="1"/>
  <c r="AO43" i="10"/>
  <c r="AK61" i="10"/>
  <c r="AQ61" i="10" s="1"/>
  <c r="AH33" i="10"/>
  <c r="AH13" i="10"/>
  <c r="AH15" i="10"/>
  <c r="AG63" i="10"/>
  <c r="AG16" i="10"/>
  <c r="AH25" i="10"/>
  <c r="AH22" i="10"/>
  <c r="AG38" i="10"/>
  <c r="AG23" i="10"/>
  <c r="AG65" i="10"/>
  <c r="AK48" i="10"/>
  <c r="AO47" i="10"/>
  <c r="AJ51" i="10"/>
  <c r="AH12" i="10"/>
  <c r="AH8" i="10"/>
  <c r="AG9" i="10"/>
  <c r="AG67" i="10"/>
  <c r="AR21" i="10"/>
  <c r="AK25" i="10"/>
  <c r="AO58" i="10"/>
  <c r="AK62" i="10"/>
  <c r="AH39" i="10"/>
  <c r="AH45" i="10"/>
  <c r="AJ55" i="10"/>
  <c r="AO34" i="10"/>
  <c r="AJ54" i="10"/>
  <c r="AR44" i="10"/>
  <c r="BD44" i="10" s="1"/>
  <c r="AK43" i="10"/>
  <c r="AH53" i="10"/>
  <c r="AJ25" i="10"/>
  <c r="AP25" i="10" s="1"/>
  <c r="AO55" i="10"/>
  <c r="AJ31" i="10"/>
  <c r="AR20" i="10"/>
  <c r="BJ20" i="10" s="1"/>
  <c r="AO12" i="10"/>
  <c r="AH55" i="10"/>
  <c r="AH42" i="10"/>
  <c r="AG52" i="10"/>
  <c r="AO26" i="10"/>
  <c r="AK44" i="10"/>
  <c r="AP59" i="10"/>
  <c r="AQ29" i="10"/>
  <c r="BC29" i="10" s="1"/>
  <c r="AH58" i="10"/>
  <c r="AH64" i="10"/>
  <c r="AH66" i="10"/>
  <c r="AJ24" i="10"/>
  <c r="AK20" i="10"/>
  <c r="AO39" i="10"/>
  <c r="AJ60" i="10"/>
  <c r="AP60" i="10" s="1"/>
  <c r="AR66" i="10"/>
  <c r="AU44" i="10"/>
  <c r="AO57" i="10"/>
  <c r="AH6" i="10"/>
  <c r="AH67" i="10"/>
  <c r="AJ50" i="10"/>
  <c r="AP50" i="10" s="1"/>
  <c r="AP61" i="10"/>
  <c r="AV61" i="10" s="1"/>
  <c r="AG47" i="10"/>
  <c r="AR32" i="10"/>
  <c r="AQ27" i="10"/>
  <c r="BI27" i="10" s="1"/>
  <c r="AO32" i="10"/>
  <c r="AP37" i="10"/>
  <c r="BH37" i="10" s="1"/>
  <c r="AU50" i="10"/>
  <c r="AH38" i="10"/>
  <c r="AH11" i="10"/>
  <c r="AH31" i="10"/>
  <c r="AG57" i="10"/>
  <c r="AG7" i="10"/>
  <c r="AK12" i="10"/>
  <c r="E26" i="16"/>
  <c r="E28" i="8"/>
  <c r="AW67" i="10" l="1"/>
  <c r="BC22" i="10"/>
  <c r="AX7" i="10"/>
  <c r="C28" i="8"/>
  <c r="AX34" i="10"/>
  <c r="BG19" i="10"/>
  <c r="BD46" i="10"/>
  <c r="BD34" i="10"/>
  <c r="AX38" i="10"/>
  <c r="AX15" i="10"/>
  <c r="BD38" i="10"/>
  <c r="BD15" i="10"/>
  <c r="BD10" i="10"/>
  <c r="BD26" i="10"/>
  <c r="BJ53" i="10"/>
  <c r="BD24" i="10"/>
  <c r="BJ23" i="10"/>
  <c r="AX53" i="10"/>
  <c r="AX5" i="10"/>
  <c r="AW11" i="10"/>
  <c r="BM10" i="10"/>
  <c r="BA65" i="10"/>
  <c r="BM36" i="10"/>
  <c r="BA40" i="10"/>
  <c r="BG6" i="10"/>
  <c r="BG56" i="10"/>
  <c r="BA38" i="10"/>
  <c r="BM59" i="10"/>
  <c r="BA59" i="10"/>
  <c r="BG65" i="10"/>
  <c r="BA10" i="10"/>
  <c r="BA64" i="10"/>
  <c r="BG64" i="10"/>
  <c r="BA6" i="10"/>
  <c r="BA19" i="10"/>
  <c r="BG41" i="10"/>
  <c r="AX56" i="10"/>
  <c r="BD31" i="10"/>
  <c r="BJ56" i="10"/>
  <c r="AX55" i="10"/>
  <c r="AX58" i="10"/>
  <c r="BD37" i="10"/>
  <c r="BJ55" i="10"/>
  <c r="BJ58" i="10"/>
  <c r="BJ7" i="10"/>
  <c r="BJ5" i="10"/>
  <c r="BC18" i="10"/>
  <c r="AW6" i="10"/>
  <c r="BI63" i="10"/>
  <c r="BI6" i="10"/>
  <c r="C26" i="16"/>
  <c r="AV27" i="10"/>
  <c r="AV17" i="10"/>
  <c r="BB21" i="10"/>
  <c r="BH21" i="10"/>
  <c r="BB63" i="10"/>
  <c r="AV32" i="10"/>
  <c r="BH29" i="10"/>
  <c r="AV57" i="10"/>
  <c r="BB32" i="10"/>
  <c r="AV43" i="10"/>
  <c r="BB43" i="10"/>
  <c r="BC67" i="10"/>
  <c r="BC11" i="10"/>
  <c r="BI57" i="10"/>
  <c r="BI7" i="10"/>
  <c r="BI22" i="10"/>
  <c r="BC57" i="10"/>
  <c r="BC5" i="10"/>
  <c r="AX10" i="10"/>
  <c r="BJ46" i="10"/>
  <c r="BD23" i="10"/>
  <c r="AX63" i="10"/>
  <c r="BD63" i="10"/>
  <c r="BH27" i="10"/>
  <c r="BB17" i="10"/>
  <c r="AV66" i="10"/>
  <c r="BH57" i="10"/>
  <c r="BH41" i="10"/>
  <c r="BH66" i="10"/>
  <c r="AV39" i="10"/>
  <c r="BB39" i="10"/>
  <c r="AV29" i="10"/>
  <c r="AV8" i="10"/>
  <c r="BH8" i="10"/>
  <c r="AS26" i="10"/>
  <c r="BK26" i="10" s="1"/>
  <c r="AT30" i="10"/>
  <c r="BL30" i="10" s="1"/>
  <c r="AS6" i="10"/>
  <c r="BE6" i="10" s="1"/>
  <c r="AS24" i="10"/>
  <c r="BK24" i="10" s="1"/>
  <c r="AQ26" i="10"/>
  <c r="AW26" i="10" s="1"/>
  <c r="BA16" i="10"/>
  <c r="BM16" i="10"/>
  <c r="AW55" i="10"/>
  <c r="BI55" i="10"/>
  <c r="BH50" i="10"/>
  <c r="BB50" i="10"/>
  <c r="AV50" i="10"/>
  <c r="AQ20" i="10"/>
  <c r="BI20" i="10" s="1"/>
  <c r="AT32" i="10"/>
  <c r="BL32" i="10" s="1"/>
  <c r="AU60" i="10"/>
  <c r="AU7" i="10"/>
  <c r="BM7" i="10" s="1"/>
  <c r="AQ59" i="10"/>
  <c r="BI59" i="10" s="1"/>
  <c r="AP40" i="10"/>
  <c r="BH40" i="10" s="1"/>
  <c r="AS39" i="10"/>
  <c r="BK39" i="10" s="1"/>
  <c r="BI13" i="10"/>
  <c r="BC13" i="10"/>
  <c r="AW13" i="10"/>
  <c r="AS54" i="10"/>
  <c r="BM11" i="10"/>
  <c r="BG11" i="10"/>
  <c r="BA11" i="10"/>
  <c r="AU42" i="10"/>
  <c r="BM42" i="10" s="1"/>
  <c r="BC64" i="10"/>
  <c r="AW64" i="10"/>
  <c r="AU30" i="10"/>
  <c r="BM30" i="10" s="1"/>
  <c r="AV37" i="10"/>
  <c r="AS29" i="10"/>
  <c r="BK29" i="10" s="1"/>
  <c r="AQ36" i="10"/>
  <c r="BI36" i="10" s="1"/>
  <c r="AP56" i="10"/>
  <c r="BB56" i="10" s="1"/>
  <c r="AT28" i="10"/>
  <c r="BL28" i="10" s="1"/>
  <c r="AQ52" i="10"/>
  <c r="AW52" i="10" s="1"/>
  <c r="AQ40" i="10"/>
  <c r="BI45" i="10"/>
  <c r="BC45" i="10"/>
  <c r="AU57" i="10"/>
  <c r="BM44" i="10"/>
  <c r="BG44" i="10"/>
  <c r="BA44" i="10"/>
  <c r="AP24" i="10"/>
  <c r="BB24" i="10" s="1"/>
  <c r="AU55" i="10"/>
  <c r="AP48" i="10"/>
  <c r="AU23" i="10"/>
  <c r="BM23" i="10" s="1"/>
  <c r="AU51" i="10"/>
  <c r="BM51" i="10" s="1"/>
  <c r="AS50" i="10"/>
  <c r="BK50" i="10" s="1"/>
  <c r="AU21" i="10"/>
  <c r="BM21" i="10" s="1"/>
  <c r="BA15" i="10"/>
  <c r="BM15" i="10"/>
  <c r="AP19" i="10"/>
  <c r="BH19" i="10" s="1"/>
  <c r="AP26" i="10"/>
  <c r="BB26" i="10" s="1"/>
  <c r="AT60" i="10"/>
  <c r="BL60" i="10" s="1"/>
  <c r="AS14" i="10"/>
  <c r="BK14" i="10" s="1"/>
  <c r="AS13" i="10"/>
  <c r="BK13" i="10" s="1"/>
  <c r="BB37" i="10"/>
  <c r="BD14" i="10"/>
  <c r="AX24" i="10"/>
  <c r="BI34" i="10"/>
  <c r="BC34" i="10"/>
  <c r="AW42" i="10"/>
  <c r="BI42" i="10"/>
  <c r="BH49" i="10"/>
  <c r="AV49" i="10"/>
  <c r="AW53" i="10"/>
  <c r="BI53" i="10"/>
  <c r="BI65" i="10"/>
  <c r="AW65" i="10"/>
  <c r="BM14" i="10"/>
  <c r="BG14" i="10"/>
  <c r="BA14" i="10"/>
  <c r="BJ66" i="10"/>
  <c r="BD66" i="10"/>
  <c r="AX66" i="10"/>
  <c r="AQ44" i="10"/>
  <c r="BJ21" i="10"/>
  <c r="BD21" i="10"/>
  <c r="AX21" i="10"/>
  <c r="AQ48" i="10"/>
  <c r="BC48" i="10" s="1"/>
  <c r="AU37" i="10"/>
  <c r="BM37" i="10" s="1"/>
  <c r="AQ39" i="10"/>
  <c r="AW39" i="10" s="1"/>
  <c r="AQ30" i="10"/>
  <c r="AU61" i="10"/>
  <c r="BM61" i="10" s="1"/>
  <c r="AQ28" i="10"/>
  <c r="BI28" i="10" s="1"/>
  <c r="AU67" i="10"/>
  <c r="BA67" i="10" s="1"/>
  <c r="AS61" i="10"/>
  <c r="BK61" i="10" s="1"/>
  <c r="AP14" i="10"/>
  <c r="BH14" i="10" s="1"/>
  <c r="AT57" i="10"/>
  <c r="BL57" i="10" s="1"/>
  <c r="AP33" i="10"/>
  <c r="BH33" i="10" s="1"/>
  <c r="AP46" i="10"/>
  <c r="BH46" i="10" s="1"/>
  <c r="AP7" i="10"/>
  <c r="BH7" i="10" s="1"/>
  <c r="AQ46" i="10"/>
  <c r="BI46" i="10" s="1"/>
  <c r="AU24" i="10"/>
  <c r="BM24" i="10" s="1"/>
  <c r="AX28" i="10"/>
  <c r="BJ28" i="10"/>
  <c r="BH22" i="10"/>
  <c r="BB22" i="10"/>
  <c r="AV22" i="10"/>
  <c r="BJ14" i="10"/>
  <c r="BC37" i="10"/>
  <c r="AW37" i="10"/>
  <c r="BA9" i="10"/>
  <c r="BM9" i="10"/>
  <c r="BM48" i="10"/>
  <c r="BG48" i="10"/>
  <c r="BA48" i="10"/>
  <c r="BJ35" i="10"/>
  <c r="BD35" i="10"/>
  <c r="AX35" i="10"/>
  <c r="AT43" i="10"/>
  <c r="BL43" i="10" s="1"/>
  <c r="BM50" i="10"/>
  <c r="BG50" i="10"/>
  <c r="BA50" i="10"/>
  <c r="BD32" i="10"/>
  <c r="BJ32" i="10"/>
  <c r="AX32" i="10"/>
  <c r="BH60" i="10"/>
  <c r="AV60" i="10"/>
  <c r="BB60" i="10"/>
  <c r="BH25" i="10"/>
  <c r="BB25" i="10"/>
  <c r="AV25" i="10"/>
  <c r="AQ62" i="10"/>
  <c r="BI62" i="10" s="1"/>
  <c r="AT63" i="10"/>
  <c r="BL63" i="10" s="1"/>
  <c r="AQ58" i="10"/>
  <c r="AW58" i="10" s="1"/>
  <c r="AP52" i="10"/>
  <c r="BH52" i="10" s="1"/>
  <c r="AT54" i="10"/>
  <c r="AQ8" i="10"/>
  <c r="BC8" i="10" s="1"/>
  <c r="AU63" i="10"/>
  <c r="BM63" i="10" s="1"/>
  <c r="AU45" i="10"/>
  <c r="BG45" i="10" s="1"/>
  <c r="BH58" i="10"/>
  <c r="BB58" i="10"/>
  <c r="AV58" i="10"/>
  <c r="BH15" i="10"/>
  <c r="BB15" i="10"/>
  <c r="AV15" i="10"/>
  <c r="AQ31" i="10"/>
  <c r="BI31" i="10" s="1"/>
  <c r="AT47" i="10"/>
  <c r="AZ47" i="10" s="1"/>
  <c r="BG38" i="10"/>
  <c r="AV41" i="10"/>
  <c r="AW27" i="10"/>
  <c r="AQ14" i="10"/>
  <c r="BI14" i="10" s="1"/>
  <c r="AP16" i="10"/>
  <c r="BH16" i="10" s="1"/>
  <c r="AT17" i="10"/>
  <c r="BL17" i="10" s="1"/>
  <c r="AQ9" i="10"/>
  <c r="BI9" i="10" s="1"/>
  <c r="BH47" i="10"/>
  <c r="BB47" i="10"/>
  <c r="AV47" i="10"/>
  <c r="BL18" i="10"/>
  <c r="BF18" i="10"/>
  <c r="AZ18" i="10"/>
  <c r="AT23" i="10"/>
  <c r="BL23" i="10" s="1"/>
  <c r="AU31" i="10"/>
  <c r="BM31" i="10" s="1"/>
  <c r="AQ60" i="10"/>
  <c r="AW60" i="10" s="1"/>
  <c r="BI50" i="10"/>
  <c r="AW50" i="10"/>
  <c r="AU33" i="10"/>
  <c r="BM33" i="10" s="1"/>
  <c r="AQ16" i="10"/>
  <c r="BI16" i="10" s="1"/>
  <c r="AP65" i="10"/>
  <c r="BH65" i="10" s="1"/>
  <c r="AQ32" i="10"/>
  <c r="BI32" i="10" s="1"/>
  <c r="AS60" i="10"/>
  <c r="BK60" i="10" s="1"/>
  <c r="BH28" i="10"/>
  <c r="BB28" i="10"/>
  <c r="AV28" i="10"/>
  <c r="AP6" i="10"/>
  <c r="BH6" i="10" s="1"/>
  <c r="AT62" i="10"/>
  <c r="AS17" i="10"/>
  <c r="BK17" i="10" s="1"/>
  <c r="AT21" i="10"/>
  <c r="BL21" i="10" s="1"/>
  <c r="AT19" i="10"/>
  <c r="AZ19" i="10" s="1"/>
  <c r="AX20" i="10"/>
  <c r="BC27" i="10"/>
  <c r="AV9" i="10"/>
  <c r="BI64" i="10"/>
  <c r="BI19" i="10"/>
  <c r="BC19" i="10"/>
  <c r="AW19" i="10"/>
  <c r="BH59" i="10"/>
  <c r="BB59" i="10"/>
  <c r="AU43" i="10"/>
  <c r="BM43" i="10" s="1"/>
  <c r="BI61" i="10"/>
  <c r="BC61" i="10"/>
  <c r="AW61" i="10"/>
  <c r="AU32" i="10"/>
  <c r="BM32" i="10" s="1"/>
  <c r="AW29" i="10"/>
  <c r="BI29" i="10"/>
  <c r="AU28" i="10"/>
  <c r="BM28" i="10" s="1"/>
  <c r="AS28" i="10"/>
  <c r="AT24" i="10"/>
  <c r="BL24" i="10" s="1"/>
  <c r="AU25" i="10"/>
  <c r="BM25" i="10" s="1"/>
  <c r="AU35" i="10"/>
  <c r="BG35" i="10" s="1"/>
  <c r="AP36" i="10"/>
  <c r="BH36" i="10" s="1"/>
  <c r="AQ38" i="10"/>
  <c r="BI38" i="10" s="1"/>
  <c r="AQ66" i="10"/>
  <c r="BC66" i="10" s="1"/>
  <c r="BB61" i="10"/>
  <c r="BD20" i="10"/>
  <c r="AX44" i="10"/>
  <c r="BD61" i="10"/>
  <c r="AW35" i="10"/>
  <c r="BH9" i="10"/>
  <c r="BG15" i="10"/>
  <c r="AV59" i="10"/>
  <c r="AU47" i="10"/>
  <c r="BM47" i="10" s="1"/>
  <c r="AQ12" i="10"/>
  <c r="AU12" i="10"/>
  <c r="BM12" i="10" s="1"/>
  <c r="AU26" i="10"/>
  <c r="BA26" i="10" s="1"/>
  <c r="AP54" i="10"/>
  <c r="BH54" i="10" s="1"/>
  <c r="AP51" i="10"/>
  <c r="BH51" i="10" s="1"/>
  <c r="BH53" i="10"/>
  <c r="BB53" i="10"/>
  <c r="AV53" i="10"/>
  <c r="AQ49" i="10"/>
  <c r="BI49" i="10" s="1"/>
  <c r="BB42" i="10"/>
  <c r="BH42" i="10"/>
  <c r="AV42" i="10"/>
  <c r="AT50" i="10"/>
  <c r="BL50" i="10" s="1"/>
  <c r="AP34" i="10"/>
  <c r="BH34" i="10" s="1"/>
  <c r="BH38" i="10"/>
  <c r="BB38" i="10"/>
  <c r="AV38" i="10"/>
  <c r="BD30" i="10"/>
  <c r="AX30" i="10"/>
  <c r="AU46" i="10"/>
  <c r="BG46" i="10" s="1"/>
  <c r="AS21" i="10"/>
  <c r="BE21" i="10" s="1"/>
  <c r="AU29" i="10"/>
  <c r="BM29" i="10" s="1"/>
  <c r="AU49" i="10"/>
  <c r="BG49" i="10" s="1"/>
  <c r="BJ9" i="10"/>
  <c r="BD9" i="10"/>
  <c r="AX9" i="10"/>
  <c r="AQ51" i="10"/>
  <c r="AW51" i="10" s="1"/>
  <c r="AQ56" i="10"/>
  <c r="BC56" i="10" s="1"/>
  <c r="BM20" i="10"/>
  <c r="BG20" i="10"/>
  <c r="BA20" i="10"/>
  <c r="BA56" i="10"/>
  <c r="BH61" i="10"/>
  <c r="BJ44" i="10"/>
  <c r="BJ61" i="10"/>
  <c r="AW45" i="10"/>
  <c r="BC35" i="10"/>
  <c r="AV18" i="10"/>
  <c r="BH18" i="10"/>
  <c r="BG16" i="10"/>
  <c r="BC55" i="10"/>
  <c r="AX41" i="10"/>
  <c r="BJ41" i="10"/>
  <c r="BH62" i="10"/>
  <c r="BB62" i="10"/>
  <c r="AV62" i="10"/>
  <c r="AP35" i="10"/>
  <c r="BB35" i="10" s="1"/>
  <c r="AT10" i="10"/>
  <c r="AZ10" i="10" s="1"/>
  <c r="AT26" i="10"/>
  <c r="BF26" i="10" s="1"/>
  <c r="BI5" i="10"/>
  <c r="BJ26" i="10"/>
  <c r="BJ31" i="10"/>
  <c r="BM41" i="10"/>
  <c r="BI18" i="10"/>
  <c r="BJ37" i="10"/>
  <c r="BG40" i="10"/>
  <c r="AX16" i="10"/>
  <c r="AV13" i="10"/>
  <c r="AV67" i="10"/>
  <c r="AW23" i="10"/>
  <c r="AW63" i="10"/>
  <c r="AV63" i="10"/>
  <c r="BA36" i="10"/>
  <c r="AW7" i="10"/>
  <c r="BA53" i="10"/>
  <c r="BD16" i="10"/>
  <c r="BB13" i="10"/>
  <c r="BB67" i="10"/>
  <c r="BC23" i="10"/>
  <c r="BG53" i="10"/>
  <c r="AT36" i="10"/>
  <c r="BL36" i="10" s="1"/>
  <c r="AN34" i="10"/>
  <c r="D26" i="16"/>
  <c r="AN13" i="10"/>
  <c r="AM40" i="10"/>
  <c r="AM20" i="10"/>
  <c r="AS20" i="10" s="1"/>
  <c r="AM5" i="10"/>
  <c r="AM45" i="10"/>
  <c r="AM11" i="10"/>
  <c r="AM48" i="10"/>
  <c r="AN59" i="10"/>
  <c r="AN11" i="10"/>
  <c r="AN67" i="10"/>
  <c r="AP31" i="10"/>
  <c r="AM9" i="10"/>
  <c r="AM38" i="10"/>
  <c r="AN44" i="10"/>
  <c r="AM62" i="10"/>
  <c r="AU18" i="10"/>
  <c r="AP10" i="10"/>
  <c r="AM19" i="10"/>
  <c r="AM18" i="10"/>
  <c r="AN35" i="10"/>
  <c r="AN65" i="10"/>
  <c r="AQ10" i="10"/>
  <c r="AW10" i="10" s="1"/>
  <c r="AN40" i="10"/>
  <c r="AM42" i="10"/>
  <c r="AN14" i="10"/>
  <c r="AM64" i="10"/>
  <c r="AQ47" i="10"/>
  <c r="AN38" i="10"/>
  <c r="AN6" i="10"/>
  <c r="AN66" i="10"/>
  <c r="AN42" i="10"/>
  <c r="AN8" i="10"/>
  <c r="AN33" i="10"/>
  <c r="AM30" i="10"/>
  <c r="AM58" i="10"/>
  <c r="AM22" i="10"/>
  <c r="AN20" i="10"/>
  <c r="AP12" i="10"/>
  <c r="BH12" i="10" s="1"/>
  <c r="AU34" i="10"/>
  <c r="AN22" i="10"/>
  <c r="AM16" i="10"/>
  <c r="AQ21" i="10"/>
  <c r="AM36" i="10"/>
  <c r="AM25" i="10"/>
  <c r="AM53" i="10"/>
  <c r="AN41" i="10"/>
  <c r="AU27" i="10"/>
  <c r="BG27" i="10" s="1"/>
  <c r="AM49" i="10"/>
  <c r="AM15" i="10"/>
  <c r="AM7" i="10"/>
  <c r="AN64" i="10"/>
  <c r="AN45" i="10"/>
  <c r="AN25" i="10"/>
  <c r="AM63" i="10"/>
  <c r="AS63" i="10" s="1"/>
  <c r="AM46" i="10"/>
  <c r="AS46" i="10" s="1"/>
  <c r="AM41" i="10"/>
  <c r="AN46" i="10"/>
  <c r="AM55" i="10"/>
  <c r="AN7" i="10"/>
  <c r="AM34" i="10"/>
  <c r="AM66" i="10"/>
  <c r="AN56" i="10"/>
  <c r="AM57" i="10"/>
  <c r="AM47" i="10"/>
  <c r="AN55" i="10"/>
  <c r="AT55" i="10" s="1"/>
  <c r="AP55" i="10"/>
  <c r="AN12" i="10"/>
  <c r="AM65" i="10"/>
  <c r="AU66" i="10"/>
  <c r="BG66" i="10" s="1"/>
  <c r="AP44" i="10"/>
  <c r="AN37" i="10"/>
  <c r="AM51" i="10"/>
  <c r="AM31" i="10"/>
  <c r="AP20" i="10"/>
  <c r="AN16" i="10"/>
  <c r="AN51" i="10"/>
  <c r="AT51" i="10" s="1"/>
  <c r="AU62" i="10"/>
  <c r="BM62" i="10" s="1"/>
  <c r="AN49" i="10"/>
  <c r="AU8" i="10"/>
  <c r="BG8" i="10" s="1"/>
  <c r="AU39" i="10"/>
  <c r="BM39" i="10" s="1"/>
  <c r="AN58" i="10"/>
  <c r="AT58" i="10" s="1"/>
  <c r="AQ43" i="10"/>
  <c r="AN39" i="10"/>
  <c r="AU58" i="10"/>
  <c r="BA58" i="10" s="1"/>
  <c r="AM67" i="10"/>
  <c r="AS67" i="10" s="1"/>
  <c r="AM23" i="10"/>
  <c r="AP23" i="10"/>
  <c r="AM37" i="10"/>
  <c r="AM32" i="10"/>
  <c r="AN5" i="10"/>
  <c r="AN61" i="10"/>
  <c r="AU13" i="10"/>
  <c r="AS59" i="10"/>
  <c r="AQ54" i="10"/>
  <c r="BC54" i="10" s="1"/>
  <c r="AN31" i="10"/>
  <c r="AM52" i="10"/>
  <c r="AN53" i="10"/>
  <c r="AQ25" i="10"/>
  <c r="AN15" i="10"/>
  <c r="AN27" i="10"/>
  <c r="AU5" i="10"/>
  <c r="AQ17" i="10"/>
  <c r="AN52" i="10"/>
  <c r="AP45" i="10"/>
  <c r="AS43" i="10"/>
  <c r="BK43" i="10" s="1"/>
  <c r="AS8" i="10"/>
  <c r="AQ33" i="10"/>
  <c r="AS27" i="10"/>
  <c r="BE27" i="10" s="1"/>
  <c r="AQ24" i="10"/>
  <c r="AT9" i="10"/>
  <c r="AP30" i="10"/>
  <c r="AU52" i="10"/>
  <c r="AN29" i="10"/>
  <c r="AP64" i="10"/>
  <c r="AM44" i="10"/>
  <c r="AP11" i="10"/>
  <c r="AS56" i="10"/>
  <c r="AY56" i="10" s="1"/>
  <c r="AM35" i="10"/>
  <c r="AM12" i="10"/>
  <c r="AU22" i="10"/>
  <c r="BA22" i="10" s="1"/>
  <c r="AU17" i="10"/>
  <c r="AT48" i="10"/>
  <c r="AQ41" i="10"/>
  <c r="AM33" i="10"/>
  <c r="AM10" i="10"/>
  <c r="AU54" i="10"/>
  <c r="D28" i="8"/>
  <c r="F26" i="16" l="1"/>
  <c r="B28" i="8"/>
  <c r="B34" i="8" s="1"/>
  <c r="C29" i="16"/>
  <c r="BF19" i="10"/>
  <c r="BL19" i="10"/>
  <c r="AW14" i="10"/>
  <c r="G28" i="8"/>
  <c r="BA29" i="10"/>
  <c r="BC49" i="10"/>
  <c r="BA12" i="10"/>
  <c r="BA51" i="10"/>
  <c r="BG67" i="10"/>
  <c r="BC38" i="10"/>
  <c r="E31" i="16"/>
  <c r="BC52" i="10"/>
  <c r="BI39" i="10"/>
  <c r="BI52" i="10"/>
  <c r="AW32" i="10"/>
  <c r="G26" i="16"/>
  <c r="BL10" i="10"/>
  <c r="BG29" i="10"/>
  <c r="BG12" i="10"/>
  <c r="BK6" i="10"/>
  <c r="BA43" i="10"/>
  <c r="BA23" i="10"/>
  <c r="BA42" i="10"/>
  <c r="AZ32" i="10"/>
  <c r="B26" i="16"/>
  <c r="B27" i="16" s="1"/>
  <c r="BA45" i="10"/>
  <c r="AZ30" i="10"/>
  <c r="BA24" i="10"/>
  <c r="BA37" i="10"/>
  <c r="BG24" i="10"/>
  <c r="BG37" i="10"/>
  <c r="BA8" i="10"/>
  <c r="BG62" i="10"/>
  <c r="BM8" i="10"/>
  <c r="BA47" i="10"/>
  <c r="BM45" i="10"/>
  <c r="BM67" i="10"/>
  <c r="BG23" i="10"/>
  <c r="BG30" i="10"/>
  <c r="BG42" i="10"/>
  <c r="BG47" i="10"/>
  <c r="BA25" i="10"/>
  <c r="BA35" i="10"/>
  <c r="BG25" i="10"/>
  <c r="BG32" i="10"/>
  <c r="BA7" i="10"/>
  <c r="BM35" i="10"/>
  <c r="BA61" i="10"/>
  <c r="BG21" i="10"/>
  <c r="BA49" i="10"/>
  <c r="BG28" i="10"/>
  <c r="BG33" i="10"/>
  <c r="BG61" i="10"/>
  <c r="BM49" i="10"/>
  <c r="BG63" i="10"/>
  <c r="BF10" i="10"/>
  <c r="BF17" i="10"/>
  <c r="BF32" i="10"/>
  <c r="AZ50" i="10"/>
  <c r="BF50" i="10"/>
  <c r="AZ21" i="10"/>
  <c r="AZ24" i="10"/>
  <c r="BF21" i="10"/>
  <c r="BF23" i="10"/>
  <c r="BF47" i="10"/>
  <c r="BL47" i="10"/>
  <c r="AZ57" i="10"/>
  <c r="AZ43" i="10"/>
  <c r="BF57" i="10"/>
  <c r="BF43" i="10"/>
  <c r="AY17" i="10"/>
  <c r="AY14" i="10"/>
  <c r="AY60" i="10"/>
  <c r="BC36" i="10"/>
  <c r="BC14" i="10"/>
  <c r="BI26" i="10"/>
  <c r="BI66" i="10"/>
  <c r="AW36" i="10"/>
  <c r="BC59" i="10"/>
  <c r="AW38" i="10"/>
  <c r="BC39" i="10"/>
  <c r="AW20" i="10"/>
  <c r="AW8" i="10"/>
  <c r="BI8" i="10"/>
  <c r="AV46" i="10"/>
  <c r="AV24" i="10"/>
  <c r="BB33" i="10"/>
  <c r="BH24" i="10"/>
  <c r="BB54" i="10"/>
  <c r="AV14" i="10"/>
  <c r="AV33" i="10"/>
  <c r="BB14" i="10"/>
  <c r="BB40" i="10"/>
  <c r="BB46" i="10"/>
  <c r="AV16" i="10"/>
  <c r="AY29" i="10"/>
  <c r="BE61" i="10"/>
  <c r="BE29" i="10"/>
  <c r="BK56" i="10"/>
  <c r="AY50" i="10"/>
  <c r="AY24" i="10"/>
  <c r="BE50" i="10"/>
  <c r="BE24" i="10"/>
  <c r="AY6" i="10"/>
  <c r="AW16" i="10"/>
  <c r="BC9" i="10"/>
  <c r="BC51" i="10"/>
  <c r="BI51" i="10"/>
  <c r="BC58" i="10"/>
  <c r="AW48" i="10"/>
  <c r="BI58" i="10"/>
  <c r="AW46" i="10"/>
  <c r="BI48" i="10"/>
  <c r="BC26" i="10"/>
  <c r="AW66" i="10"/>
  <c r="BC60" i="10"/>
  <c r="BC46" i="10"/>
  <c r="BI60" i="10"/>
  <c r="BC28" i="10"/>
  <c r="AV34" i="10"/>
  <c r="BB34" i="10"/>
  <c r="AV19" i="10"/>
  <c r="BB6" i="10"/>
  <c r="AV51" i="10"/>
  <c r="AV36" i="10"/>
  <c r="BB65" i="10"/>
  <c r="AV7" i="10"/>
  <c r="AV56" i="10"/>
  <c r="BB7" i="10"/>
  <c r="BH56" i="10"/>
  <c r="AV26" i="10"/>
  <c r="AS23" i="10"/>
  <c r="BK23" i="10" s="1"/>
  <c r="AV55" i="10"/>
  <c r="BH55" i="10"/>
  <c r="AS16" i="10"/>
  <c r="BK16" i="10" s="1"/>
  <c r="BM60" i="10"/>
  <c r="BG60" i="10"/>
  <c r="BA60" i="10"/>
  <c r="AS33" i="10"/>
  <c r="BK33" i="10" s="1"/>
  <c r="AT29" i="10"/>
  <c r="BF29" i="10" s="1"/>
  <c r="AY27" i="10"/>
  <c r="BK27" i="10"/>
  <c r="AS32" i="10"/>
  <c r="AY32" i="10" s="1"/>
  <c r="BC43" i="10"/>
  <c r="AW43" i="10"/>
  <c r="AS66" i="10"/>
  <c r="BK66" i="10" s="1"/>
  <c r="AT64" i="10"/>
  <c r="BF64" i="10" s="1"/>
  <c r="AS49" i="10"/>
  <c r="BE49" i="10" s="1"/>
  <c r="AT22" i="10"/>
  <c r="BL22" i="10" s="1"/>
  <c r="BG18" i="10"/>
  <c r="BA18" i="10"/>
  <c r="BH31" i="10"/>
  <c r="BB31" i="10"/>
  <c r="AV31" i="10"/>
  <c r="AS11" i="10"/>
  <c r="BK11" i="10" s="1"/>
  <c r="BL26" i="10"/>
  <c r="AZ26" i="10"/>
  <c r="BE56" i="10"/>
  <c r="BM26" i="10"/>
  <c r="BG26" i="10"/>
  <c r="BB23" i="10"/>
  <c r="AV23" i="10"/>
  <c r="AS64" i="10"/>
  <c r="BK64" i="10" s="1"/>
  <c r="AS5" i="10"/>
  <c r="BE5" i="10" s="1"/>
  <c r="BI33" i="10"/>
  <c r="BC33" i="10"/>
  <c r="AW33" i="10"/>
  <c r="AT27" i="10"/>
  <c r="BL27" i="10" s="1"/>
  <c r="BM18" i="10"/>
  <c r="BI43" i="10"/>
  <c r="BH64" i="10"/>
  <c r="BB64" i="10"/>
  <c r="AV64" i="10"/>
  <c r="BM5" i="10"/>
  <c r="BG5" i="10"/>
  <c r="BA5" i="10"/>
  <c r="BG39" i="10"/>
  <c r="BA39" i="10"/>
  <c r="AS25" i="10"/>
  <c r="AY25" i="10" s="1"/>
  <c r="BM22" i="10"/>
  <c r="BG22" i="10"/>
  <c r="AT52" i="10"/>
  <c r="BF52" i="10" s="1"/>
  <c r="BI25" i="10"/>
  <c r="BC25" i="10"/>
  <c r="AW25" i="10"/>
  <c r="BK59" i="10"/>
  <c r="BE59" i="10"/>
  <c r="AY59" i="10"/>
  <c r="AT66" i="10"/>
  <c r="AZ66" i="10" s="1"/>
  <c r="AS12" i="10"/>
  <c r="BK12" i="10" s="1"/>
  <c r="BM52" i="10"/>
  <c r="BG52" i="10"/>
  <c r="AT34" i="10"/>
  <c r="BL34" i="10" s="1"/>
  <c r="BI56" i="10"/>
  <c r="AW56" i="10"/>
  <c r="BM46" i="10"/>
  <c r="BA46" i="10"/>
  <c r="BI30" i="10"/>
  <c r="BC30" i="10"/>
  <c r="AW30" i="10"/>
  <c r="BI40" i="10"/>
  <c r="BC40" i="10"/>
  <c r="AW40" i="10"/>
  <c r="BH23" i="10"/>
  <c r="AS57" i="10"/>
  <c r="BE57" i="10" s="1"/>
  <c r="BI41" i="10"/>
  <c r="BC41" i="10"/>
  <c r="AW41" i="10"/>
  <c r="BH20" i="10"/>
  <c r="BB20" i="10"/>
  <c r="AV44" i="10"/>
  <c r="BH44" i="10"/>
  <c r="AS34" i="10"/>
  <c r="BK34" i="10" s="1"/>
  <c r="BL48" i="10"/>
  <c r="BF48" i="10"/>
  <c r="AZ48" i="10"/>
  <c r="BH30" i="10"/>
  <c r="BB30" i="10"/>
  <c r="BK8" i="10"/>
  <c r="BE8" i="10"/>
  <c r="AY8" i="10"/>
  <c r="BI17" i="10"/>
  <c r="BC17" i="10"/>
  <c r="AW17" i="10"/>
  <c r="AT53" i="10"/>
  <c r="BF53" i="10" s="1"/>
  <c r="AT31" i="10"/>
  <c r="BF31" i="10" s="1"/>
  <c r="BM13" i="10"/>
  <c r="BG13" i="10"/>
  <c r="BA13" i="10"/>
  <c r="BK67" i="10"/>
  <c r="AY67" i="10"/>
  <c r="BE67" i="10"/>
  <c r="BL51" i="10"/>
  <c r="BF51" i="10"/>
  <c r="AZ51" i="10"/>
  <c r="AS65" i="10"/>
  <c r="AY65" i="10" s="1"/>
  <c r="BL55" i="10"/>
  <c r="BF55" i="10"/>
  <c r="AZ55" i="10"/>
  <c r="AS7" i="10"/>
  <c r="BE7" i="10" s="1"/>
  <c r="BM34" i="10"/>
  <c r="BG34" i="10"/>
  <c r="BA34" i="10"/>
  <c r="AT33" i="10"/>
  <c r="BL33" i="10" s="1"/>
  <c r="AT6" i="10"/>
  <c r="AZ6" i="10" s="1"/>
  <c r="BI10" i="10"/>
  <c r="BC10" i="10"/>
  <c r="AS38" i="10"/>
  <c r="AY38" i="10" s="1"/>
  <c r="BK28" i="10"/>
  <c r="BE28" i="10"/>
  <c r="AY28" i="10"/>
  <c r="AV20" i="10"/>
  <c r="BM55" i="10"/>
  <c r="BG55" i="10"/>
  <c r="BA55" i="10"/>
  <c r="BB55" i="10"/>
  <c r="BH11" i="10"/>
  <c r="BB11" i="10"/>
  <c r="AV11" i="10"/>
  <c r="AS44" i="10"/>
  <c r="BE44" i="10" s="1"/>
  <c r="BL9" i="10"/>
  <c r="BF9" i="10"/>
  <c r="AZ9" i="10"/>
  <c r="AS52" i="10"/>
  <c r="AY52" i="10" s="1"/>
  <c r="AT61" i="10"/>
  <c r="AZ61" i="10" s="1"/>
  <c r="BL58" i="10"/>
  <c r="BF58" i="10"/>
  <c r="AZ58" i="10"/>
  <c r="AT12" i="10"/>
  <c r="BL12" i="10" s="1"/>
  <c r="AS36" i="10"/>
  <c r="BK36" i="10" s="1"/>
  <c r="BB12" i="10"/>
  <c r="AV12" i="10"/>
  <c r="AT38" i="10"/>
  <c r="BL38" i="10" s="1"/>
  <c r="BH10" i="10"/>
  <c r="BB10" i="10"/>
  <c r="AV10" i="10"/>
  <c r="AS62" i="10"/>
  <c r="BE62" i="10" s="1"/>
  <c r="AS45" i="10"/>
  <c r="AY45" i="10" s="1"/>
  <c r="BK20" i="10"/>
  <c r="BE20" i="10"/>
  <c r="AY20" i="10"/>
  <c r="AV35" i="10"/>
  <c r="BA52" i="10"/>
  <c r="BK54" i="10"/>
  <c r="BE54" i="10"/>
  <c r="AY54" i="10"/>
  <c r="BA66" i="10"/>
  <c r="BM66" i="10"/>
  <c r="BM54" i="10"/>
  <c r="BG54" i="10"/>
  <c r="BA54" i="10"/>
  <c r="BE43" i="10"/>
  <c r="AY43" i="10"/>
  <c r="BI54" i="10"/>
  <c r="AW54" i="10"/>
  <c r="BM58" i="10"/>
  <c r="BG58" i="10"/>
  <c r="AT7" i="10"/>
  <c r="AZ7" i="10" s="1"/>
  <c r="AT45" i="10"/>
  <c r="BF45" i="10" s="1"/>
  <c r="BA27" i="10"/>
  <c r="BM27" i="10"/>
  <c r="AT65" i="10"/>
  <c r="BF65" i="10" s="1"/>
  <c r="AT44" i="10"/>
  <c r="BF44" i="10" s="1"/>
  <c r="AT59" i="10"/>
  <c r="BF59" i="10" s="1"/>
  <c r="BH35" i="10"/>
  <c r="BK21" i="10"/>
  <c r="AY21" i="10"/>
  <c r="BI12" i="10"/>
  <c r="BC12" i="10"/>
  <c r="AW12" i="10"/>
  <c r="BL54" i="10"/>
  <c r="BF54" i="10"/>
  <c r="AZ54" i="10"/>
  <c r="BM57" i="10"/>
  <c r="BG57" i="10"/>
  <c r="BA57" i="10"/>
  <c r="AV30" i="10"/>
  <c r="BK46" i="10"/>
  <c r="BE46" i="10"/>
  <c r="AY46" i="10"/>
  <c r="AS10" i="10"/>
  <c r="AY10" i="10" s="1"/>
  <c r="BM17" i="10"/>
  <c r="BG17" i="10"/>
  <c r="BA17" i="10"/>
  <c r="BI24" i="10"/>
  <c r="BC24" i="10"/>
  <c r="AW24" i="10"/>
  <c r="BH45" i="10"/>
  <c r="BB45" i="10"/>
  <c r="AV45" i="10"/>
  <c r="AT15" i="10"/>
  <c r="BL15" i="10" s="1"/>
  <c r="AT39" i="10"/>
  <c r="BF39" i="10" s="1"/>
  <c r="AT49" i="10"/>
  <c r="BL49" i="10" s="1"/>
  <c r="AT16" i="10"/>
  <c r="BL16" i="10" s="1"/>
  <c r="AS55" i="10"/>
  <c r="AY55" i="10" s="1"/>
  <c r="BI21" i="10"/>
  <c r="BC21" i="10"/>
  <c r="AW21" i="10"/>
  <c r="AT20" i="10"/>
  <c r="AZ20" i="10" s="1"/>
  <c r="BI47" i="10"/>
  <c r="BC47" i="10"/>
  <c r="AW47" i="10"/>
  <c r="AT35" i="10"/>
  <c r="AZ35" i="10" s="1"/>
  <c r="AT67" i="10"/>
  <c r="BL67" i="10" s="1"/>
  <c r="AS48" i="10"/>
  <c r="BK48" i="10" s="1"/>
  <c r="BB44" i="10"/>
  <c r="BL62" i="10"/>
  <c r="BF62" i="10"/>
  <c r="AZ62" i="10"/>
  <c r="BI44" i="10"/>
  <c r="BC44" i="10"/>
  <c r="AW44" i="10"/>
  <c r="BH48" i="10"/>
  <c r="BB48" i="10"/>
  <c r="AV48" i="10"/>
  <c r="BB51" i="10"/>
  <c r="BB36" i="10"/>
  <c r="BF24" i="10"/>
  <c r="BG43" i="10"/>
  <c r="BE17" i="10"/>
  <c r="BE60" i="10"/>
  <c r="BC32" i="10"/>
  <c r="BC16" i="10"/>
  <c r="BB16" i="10"/>
  <c r="BA63" i="10"/>
  <c r="BE14" i="10"/>
  <c r="BH26" i="10"/>
  <c r="BB19" i="10"/>
  <c r="BG51" i="10"/>
  <c r="BG7" i="10"/>
  <c r="BC20" i="10"/>
  <c r="BF30" i="10"/>
  <c r="AZ36" i="10"/>
  <c r="BA31" i="10"/>
  <c r="AW31" i="10"/>
  <c r="AV52" i="10"/>
  <c r="AZ63" i="10"/>
  <c r="AW62" i="10"/>
  <c r="AY61" i="10"/>
  <c r="AW28" i="10"/>
  <c r="BA21" i="10"/>
  <c r="BA30" i="10"/>
  <c r="AV40" i="10"/>
  <c r="AW59" i="10"/>
  <c r="BF36" i="10"/>
  <c r="BG31" i="10"/>
  <c r="BC31" i="10"/>
  <c r="BB52" i="10"/>
  <c r="BF63" i="10"/>
  <c r="BC62" i="10"/>
  <c r="AT37" i="10"/>
  <c r="AZ37" i="10" s="1"/>
  <c r="BK63" i="10"/>
  <c r="BE63" i="10"/>
  <c r="AY63" i="10"/>
  <c r="AS58" i="10"/>
  <c r="AY58" i="10" s="1"/>
  <c r="AT14" i="10"/>
  <c r="BL14" i="10" s="1"/>
  <c r="AT11" i="10"/>
  <c r="BL11" i="10" s="1"/>
  <c r="AW49" i="10"/>
  <c r="AV54" i="10"/>
  <c r="BA28" i="10"/>
  <c r="BA32" i="10"/>
  <c r="AV6" i="10"/>
  <c r="AV65" i="10"/>
  <c r="BA33" i="10"/>
  <c r="AZ23" i="10"/>
  <c r="AW9" i="10"/>
  <c r="AZ17" i="10"/>
  <c r="AY13" i="10"/>
  <c r="AZ60" i="10"/>
  <c r="AZ28" i="10"/>
  <c r="AY39" i="10"/>
  <c r="AY26" i="10"/>
  <c r="BE13" i="10"/>
  <c r="BF60" i="10"/>
  <c r="BF28" i="10"/>
  <c r="BE39" i="10"/>
  <c r="BE26" i="10"/>
  <c r="BA62" i="10"/>
  <c r="AT40" i="10"/>
  <c r="BF40" i="10" s="1"/>
  <c r="AS19" i="10"/>
  <c r="BK19" i="10" s="1"/>
  <c r="AS9" i="10"/>
  <c r="BK9" i="10" s="1"/>
  <c r="AS37" i="10"/>
  <c r="BK37" i="10" s="1"/>
  <c r="AT46" i="10"/>
  <c r="BL46" i="10" s="1"/>
  <c r="AT25" i="10"/>
  <c r="BL25" i="10" s="1"/>
  <c r="AS53" i="10"/>
  <c r="BK53" i="10" s="1"/>
  <c r="AT8" i="10"/>
  <c r="BL8" i="10" s="1"/>
  <c r="AT42" i="10"/>
  <c r="BL42" i="10" s="1"/>
  <c r="AS30" i="10"/>
  <c r="BE30" i="10" s="1"/>
  <c r="AS35" i="10"/>
  <c r="BK35" i="10" s="1"/>
  <c r="AT5" i="10"/>
  <c r="BL5" i="10" s="1"/>
  <c r="AS31" i="10"/>
  <c r="BK31" i="10" s="1"/>
  <c r="AS51" i="10"/>
  <c r="BK51" i="10" s="1"/>
  <c r="AS47" i="10"/>
  <c r="AY47" i="10" s="1"/>
  <c r="AT56" i="10"/>
  <c r="BL56" i="10" s="1"/>
  <c r="AS41" i="10"/>
  <c r="BK41" i="10" s="1"/>
  <c r="AS15" i="10"/>
  <c r="BK15" i="10" s="1"/>
  <c r="AT41" i="10"/>
  <c r="BL41" i="10" s="1"/>
  <c r="AS22" i="10"/>
  <c r="BK22" i="10" s="1"/>
  <c r="AS42" i="10"/>
  <c r="BE42" i="10" s="1"/>
  <c r="AS18" i="10"/>
  <c r="AY18" i="10" s="1"/>
  <c r="AS40" i="10"/>
  <c r="BK40" i="10" s="1"/>
  <c r="AT13" i="10"/>
  <c r="BL13" i="10" s="1"/>
  <c r="D29" i="16"/>
  <c r="F28" i="8"/>
  <c r="E29" i="16"/>
  <c r="E30" i="16"/>
  <c r="E31" i="8"/>
  <c r="C31" i="8"/>
  <c r="D31" i="8"/>
  <c r="D32" i="8" l="1"/>
  <c r="C33" i="8"/>
  <c r="C32" i="8"/>
  <c r="E32" i="8"/>
  <c r="E33" i="8"/>
  <c r="B29" i="8"/>
  <c r="C30" i="16"/>
  <c r="C31" i="16"/>
  <c r="B32" i="16"/>
  <c r="D31" i="16"/>
  <c r="AZ34" i="10"/>
  <c r="AZ29" i="10"/>
  <c r="BF66" i="10"/>
  <c r="BF16" i="10"/>
  <c r="AZ39" i="10"/>
  <c r="BL39" i="10"/>
  <c r="BF42" i="10"/>
  <c r="AZ52" i="10"/>
  <c r="BL29" i="10"/>
  <c r="AZ16" i="10"/>
  <c r="BL52" i="10"/>
  <c r="AZ67" i="10"/>
  <c r="BF20" i="10"/>
  <c r="AZ49" i="10"/>
  <c r="BF34" i="10"/>
  <c r="BF67" i="10"/>
  <c r="AZ25" i="10"/>
  <c r="AZ59" i="10"/>
  <c r="AZ45" i="10"/>
  <c r="BF6" i="10"/>
  <c r="BL59" i="10"/>
  <c r="BL45" i="10"/>
  <c r="BL6" i="10"/>
  <c r="BL31" i="10"/>
  <c r="BF37" i="10"/>
  <c r="AZ65" i="10"/>
  <c r="BF7" i="10"/>
  <c r="BF61" i="10"/>
  <c r="AZ53" i="10"/>
  <c r="BE25" i="10"/>
  <c r="BL64" i="10"/>
  <c r="BK55" i="10"/>
  <c r="BL65" i="10"/>
  <c r="BK62" i="10"/>
  <c r="BL53" i="10"/>
  <c r="AZ22" i="10"/>
  <c r="BF35" i="10"/>
  <c r="AZ44" i="10"/>
  <c r="AZ38" i="10"/>
  <c r="BF22" i="10"/>
  <c r="AZ46" i="10"/>
  <c r="BL35" i="10"/>
  <c r="AZ13" i="10"/>
  <c r="BL44" i="10"/>
  <c r="BL40" i="10"/>
  <c r="BF38" i="10"/>
  <c r="AZ5" i="10"/>
  <c r="BE33" i="10"/>
  <c r="BK10" i="10"/>
  <c r="AY31" i="10"/>
  <c r="BE37" i="10"/>
  <c r="AY11" i="10"/>
  <c r="BE32" i="10"/>
  <c r="BE38" i="10"/>
  <c r="BE11" i="10"/>
  <c r="BK38" i="10"/>
  <c r="BE65" i="10"/>
  <c r="AY22" i="10"/>
  <c r="AY5" i="10"/>
  <c r="BK5" i="10"/>
  <c r="AY30" i="10"/>
  <c r="AY53" i="10"/>
  <c r="AY48" i="10"/>
  <c r="BE45" i="10"/>
  <c r="BE9" i="10"/>
  <c r="AY42" i="10"/>
  <c r="BK65" i="10"/>
  <c r="AY33" i="10"/>
  <c r="BK42" i="10"/>
  <c r="BE18" i="10"/>
  <c r="BK30" i="10"/>
  <c r="BE10" i="10"/>
  <c r="AY36" i="10"/>
  <c r="BK7" i="10"/>
  <c r="BE58" i="10"/>
  <c r="BE36" i="10"/>
  <c r="BE52" i="10"/>
  <c r="BK57" i="10"/>
  <c r="AY49" i="10"/>
  <c r="BK58" i="10"/>
  <c r="BE47" i="10"/>
  <c r="BK52" i="10"/>
  <c r="BK44" i="10"/>
  <c r="BK49" i="10"/>
  <c r="AZ42" i="10"/>
  <c r="BE22" i="10"/>
  <c r="BL37" i="10"/>
  <c r="BL20" i="10"/>
  <c r="BE55" i="10"/>
  <c r="BK47" i="10"/>
  <c r="AY37" i="10"/>
  <c r="BE53" i="10"/>
  <c r="BL7" i="10"/>
  <c r="BK45" i="10"/>
  <c r="AY9" i="10"/>
  <c r="BL61" i="10"/>
  <c r="AY19" i="10"/>
  <c r="BF25" i="10"/>
  <c r="BE31" i="10"/>
  <c r="BK18" i="10"/>
  <c r="AY15" i="10"/>
  <c r="BL66" i="10"/>
  <c r="BK25" i="10"/>
  <c r="BF5" i="10"/>
  <c r="BF46" i="10"/>
  <c r="BK32" i="10"/>
  <c r="AZ41" i="10"/>
  <c r="BE19" i="10"/>
  <c r="AY40" i="10"/>
  <c r="BE15" i="10"/>
  <c r="AY51" i="10"/>
  <c r="AZ11" i="10"/>
  <c r="BE48" i="10"/>
  <c r="BF49" i="10"/>
  <c r="BF13" i="10"/>
  <c r="AZ8" i="10"/>
  <c r="BF41" i="10"/>
  <c r="AZ12" i="10"/>
  <c r="AY34" i="10"/>
  <c r="BE40" i="10"/>
  <c r="AY41" i="10"/>
  <c r="AY12" i="10"/>
  <c r="AZ56" i="10"/>
  <c r="AY64" i="10"/>
  <c r="AY66" i="10"/>
  <c r="BE51" i="10"/>
  <c r="AY23" i="10"/>
  <c r="BF11" i="10"/>
  <c r="AZ40" i="10"/>
  <c r="BF8" i="10"/>
  <c r="AY62" i="10"/>
  <c r="BF12" i="10"/>
  <c r="AY44" i="10"/>
  <c r="AY7" i="10"/>
  <c r="AZ31" i="10"/>
  <c r="BE34" i="10"/>
  <c r="AY57" i="10"/>
  <c r="AY35" i="10"/>
  <c r="BE41" i="10"/>
  <c r="BE12" i="10"/>
  <c r="BF56" i="10"/>
  <c r="BE64" i="10"/>
  <c r="AZ64" i="10"/>
  <c r="BE66" i="10"/>
  <c r="BE23" i="10"/>
  <c r="AZ14" i="10"/>
  <c r="AZ15" i="10"/>
  <c r="AZ33" i="10"/>
  <c r="BE35" i="10"/>
  <c r="AZ27" i="10"/>
  <c r="AY16" i="10"/>
  <c r="BF15" i="10"/>
  <c r="BF33" i="10"/>
  <c r="BF27" i="10"/>
  <c r="BE16" i="10"/>
  <c r="BF14" i="10"/>
  <c r="D30" i="16"/>
  <c r="D33" i="8"/>
  <c r="F31" i="16" l="1"/>
  <c r="G31" i="16"/>
  <c r="F30" i="16"/>
  <c r="G30" i="16"/>
  <c r="G32" i="8"/>
  <c r="G33" i="8"/>
  <c r="F33" i="8"/>
  <c r="F29" i="16"/>
  <c r="F31" i="8"/>
  <c r="G31" i="8"/>
  <c r="F32" i="8"/>
  <c r="B31" i="16" l="1"/>
  <c r="B30" i="16"/>
  <c r="B33" i="8"/>
  <c r="B32" i="8"/>
  <c r="B31" i="8"/>
  <c r="B29"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F5D6800-5A16-4BF8-AACC-6E63D3AF7332}" keepAlive="1" name="Consulta - Tabla1" description="Conexión a la consulta 'Tabla1' en el libro." type="5" refreshedVersion="6"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<sst xmlns="http://schemas.openxmlformats.org/spreadsheetml/2006/main" count="1699" uniqueCount="617">
  <si>
    <t>Veh x km per nivells de servei l'any 2017 - Interurbans - Àrea RMB</t>
  </si>
  <si>
    <t>Veh x km (dia)</t>
  </si>
  <si>
    <t>Veh x km</t>
  </si>
  <si>
    <t>% del trànsit per nivell de servei</t>
  </si>
  <si>
    <t>(any, milers)</t>
  </si>
  <si>
    <t>VL</t>
  </si>
  <si>
    <t>AB</t>
  </si>
  <si>
    <t>C</t>
  </si>
  <si>
    <t>D</t>
  </si>
  <si>
    <t>E</t>
  </si>
  <si>
    <t>F</t>
  </si>
  <si>
    <t>4 o més carrils</t>
  </si>
  <si>
    <t>Resta</t>
  </si>
  <si>
    <t>Total</t>
  </si>
  <si>
    <t>VP</t>
  </si>
  <si>
    <t>Veh x km per nivells de servei l'any 2017 - Interurbans - Àrea SIMMB</t>
  </si>
  <si>
    <t>NIVELLS DE SERVEI AMB ERRORS - AGAFEM AMB SOLAPAMENT</t>
  </si>
  <si>
    <t>SIMMB 2017 AMB SOLAPAMENT</t>
  </si>
  <si>
    <t>SIMMB 2017 SENSE SOLAPAMENT</t>
  </si>
  <si>
    <t>CODI INE</t>
  </si>
  <si>
    <t>CODI NUM</t>
  </si>
  <si>
    <t>Municipi</t>
  </si>
  <si>
    <t>veh·km/any INTERNS + AGITACIO 2006  (x 1.000)</t>
  </si>
  <si>
    <t>veh·km/any CONNEXIO + PAS 2006  (x 1.000)</t>
  </si>
  <si>
    <t>veh·km/any TOTALS 2006  (x 1.000)</t>
  </si>
  <si>
    <t>veh·km/any INTERNS + AGITACIO 2008  (x 1.000)</t>
  </si>
  <si>
    <t>veh·km/any CONNEXIO + PAS 2008  (x 1.000)</t>
  </si>
  <si>
    <t>veh·km/any TOTALS 2008  (x 1.000)</t>
  </si>
  <si>
    <t>veh·km/any INTERNS + AGITACIO 2009  (x 1.000)</t>
  </si>
  <si>
    <t>veh·km/any CONNEXIO + PAS 2009  (x 1.000)</t>
  </si>
  <si>
    <t>veh·km/any TOTALS 2009  (x 1.000)</t>
  </si>
  <si>
    <t>veh·km/any INTERNS + AGITACIO 2010  (x 1.000)</t>
  </si>
  <si>
    <t>veh·km/any CONNEXIO + PAS 2010  (x 1.000)</t>
  </si>
  <si>
    <t>veh·km/any TOTALS 2010  (x 1.000)</t>
  </si>
  <si>
    <t>veh·km/any INTERNS + AGITACIO 2012  (x 1.000)</t>
  </si>
  <si>
    <t>veh·km/any CONNEXIO + PAS 2012  (x 1.000)</t>
  </si>
  <si>
    <t>veh·km/any TOTALS 2012  (x 1.000)</t>
  </si>
  <si>
    <t>veh·km/any INTERNS + AGITACIO 2014  (x 1.000)</t>
  </si>
  <si>
    <t>veh·km/any CONNEXIO + PAS 2014  (x 1.000)</t>
  </si>
  <si>
    <t>veh·km/any TOTALS 2014  (x 1.000)</t>
  </si>
  <si>
    <t>veh·km/any INTERNS + AGITACIO 2015  (x 1.000)</t>
  </si>
  <si>
    <t>veh·km/any CONNEXIO + PAS 2015  (x 1.000)</t>
  </si>
  <si>
    <t>veh·km/any TOTALS 2015  (x 1.000)</t>
  </si>
  <si>
    <t>Variació 2014-2015</t>
  </si>
  <si>
    <t>veh·km/any INTERNS + AGITACIO 2016  (x 1.000)</t>
  </si>
  <si>
    <t>veh·km/any CONNEXIO + PAS 2016  (x 1.000)</t>
  </si>
  <si>
    <t>veh·km/any TOTALS 2016  (x 1.000)</t>
  </si>
  <si>
    <t>Variació 2015-2016</t>
  </si>
  <si>
    <t>veh·km/any INTERNS + AGITACIO 2017  (x 1.000)</t>
  </si>
  <si>
    <t>veh·km/any CONNEXIO + PAS 2017  (x 1.000)</t>
  </si>
  <si>
    <t>veh·km/any TOTALS 2017  (x 1.000)</t>
  </si>
  <si>
    <t>Variació 2016-2017</t>
  </si>
  <si>
    <t>08001</t>
  </si>
  <si>
    <t>Abrera</t>
  </si>
  <si>
    <t>08003</t>
  </si>
  <si>
    <t>Alella</t>
  </si>
  <si>
    <t>08005</t>
  </si>
  <si>
    <t>Ametlla del Vallès, l'</t>
  </si>
  <si>
    <t>08006</t>
  </si>
  <si>
    <t>Arenys de Mar</t>
  </si>
  <si>
    <t>08007</t>
  </si>
  <si>
    <t>Arenys de Munt</t>
  </si>
  <si>
    <t>08009</t>
  </si>
  <si>
    <t>Argentona</t>
  </si>
  <si>
    <t>08013</t>
  </si>
  <si>
    <t>Avinyonet del Penedès</t>
  </si>
  <si>
    <t>08014</t>
  </si>
  <si>
    <t>Aiguafreda</t>
  </si>
  <si>
    <t>08015</t>
  </si>
  <si>
    <t>Badalona</t>
  </si>
  <si>
    <t>08019</t>
  </si>
  <si>
    <t>Barcelona</t>
  </si>
  <si>
    <t>08020</t>
  </si>
  <si>
    <t>Begues</t>
  </si>
  <si>
    <t>08023</t>
  </si>
  <si>
    <t>Bigues i Riells</t>
  </si>
  <si>
    <t>08027</t>
  </si>
  <si>
    <t>Cabanyes, les</t>
  </si>
  <si>
    <t>08029</t>
  </si>
  <si>
    <t>Cabrera de Mar</t>
  </si>
  <si>
    <t>08030</t>
  </si>
  <si>
    <t>Cabrils</t>
  </si>
  <si>
    <t>08032</t>
  </si>
  <si>
    <t>Caldes d'Estrac</t>
  </si>
  <si>
    <t>08033</t>
  </si>
  <si>
    <t>Caldes de Montbui</t>
  </si>
  <si>
    <t>08035</t>
  </si>
  <si>
    <t>Calella</t>
  </si>
  <si>
    <t>08039</t>
  </si>
  <si>
    <t>Campins</t>
  </si>
  <si>
    <t>08040</t>
  </si>
  <si>
    <t>Canet de Mar</t>
  </si>
  <si>
    <t>08041</t>
  </si>
  <si>
    <t>Canovelles</t>
  </si>
  <si>
    <t>08042</t>
  </si>
  <si>
    <t>Cànoves i Samalús</t>
  </si>
  <si>
    <t>08043</t>
  </si>
  <si>
    <t>Canyelles</t>
  </si>
  <si>
    <t>08046</t>
  </si>
  <si>
    <t>Cardedeu</t>
  </si>
  <si>
    <t>08051</t>
  </si>
  <si>
    <t>Castellar del Vallès</t>
  </si>
  <si>
    <t>08054</t>
  </si>
  <si>
    <t>Castellbisbal</t>
  </si>
  <si>
    <t>08055</t>
  </si>
  <si>
    <t>Castellcir</t>
  </si>
  <si>
    <t>08056</t>
  </si>
  <si>
    <t>Castelldefels</t>
  </si>
  <si>
    <t>08058</t>
  </si>
  <si>
    <t>Castellet i la Gornal</t>
  </si>
  <si>
    <t>08064</t>
  </si>
  <si>
    <t>Castellterçol</t>
  </si>
  <si>
    <t>08065</t>
  </si>
  <si>
    <t>Castellví de la Marca</t>
  </si>
  <si>
    <t>08066</t>
  </si>
  <si>
    <t>Castellví de Rosanes</t>
  </si>
  <si>
    <t>08068</t>
  </si>
  <si>
    <t>Cervelló</t>
  </si>
  <si>
    <t>08069</t>
  </si>
  <si>
    <t>Collbató</t>
  </si>
  <si>
    <t>08072</t>
  </si>
  <si>
    <t>Corbera de Llobregat</t>
  </si>
  <si>
    <t>08073</t>
  </si>
  <si>
    <t>Cornellà de Llobregat</t>
  </si>
  <si>
    <t>08074</t>
  </si>
  <si>
    <t>Cubelles</t>
  </si>
  <si>
    <t>08075</t>
  </si>
  <si>
    <t>Dosrius</t>
  </si>
  <si>
    <t>08076</t>
  </si>
  <si>
    <t>Esparreguera</t>
  </si>
  <si>
    <t>08077</t>
  </si>
  <si>
    <t>Esplugues de Llobregat</t>
  </si>
  <si>
    <t>08081</t>
  </si>
  <si>
    <t>Fogars de Montclús</t>
  </si>
  <si>
    <t>08085</t>
  </si>
  <si>
    <t>Font-rubí</t>
  </si>
  <si>
    <t>08086</t>
  </si>
  <si>
    <t>Franqueses del Vallès, les</t>
  </si>
  <si>
    <t>08087</t>
  </si>
  <si>
    <t>Gallifa</t>
  </si>
  <si>
    <t>08088</t>
  </si>
  <si>
    <t>Garriga, la</t>
  </si>
  <si>
    <t>08089</t>
  </si>
  <si>
    <t>Gavà</t>
  </si>
  <si>
    <t>08091</t>
  </si>
  <si>
    <t>Gelida</t>
  </si>
  <si>
    <t>08094</t>
  </si>
  <si>
    <t>Granada, la</t>
  </si>
  <si>
    <t>08095</t>
  </si>
  <si>
    <t>Granera</t>
  </si>
  <si>
    <t>08096</t>
  </si>
  <si>
    <t>Granollers</t>
  </si>
  <si>
    <t>08097</t>
  </si>
  <si>
    <t>Gualba</t>
  </si>
  <si>
    <t>08101</t>
  </si>
  <si>
    <t>Hospitalet de Llobregat, l'</t>
  </si>
  <si>
    <t>08105</t>
  </si>
  <si>
    <t>Llagosta, la</t>
  </si>
  <si>
    <t>08106</t>
  </si>
  <si>
    <t>Llinars del Vallès</t>
  </si>
  <si>
    <t>08107</t>
  </si>
  <si>
    <t>Lliçà d'Amunt</t>
  </si>
  <si>
    <t>08108</t>
  </si>
  <si>
    <t>Lliçà de Vall</t>
  </si>
  <si>
    <t>08110</t>
  </si>
  <si>
    <t>Malgrat de Mar</t>
  </si>
  <si>
    <t>08114</t>
  </si>
  <si>
    <t>Martorell</t>
  </si>
  <si>
    <t>08115</t>
  </si>
  <si>
    <t>Martorelles</t>
  </si>
  <si>
    <t>08118</t>
  </si>
  <si>
    <t>Masnou, el</t>
  </si>
  <si>
    <t>08120</t>
  </si>
  <si>
    <t>Matadepera</t>
  </si>
  <si>
    <t>08121</t>
  </si>
  <si>
    <t>Mataró</t>
  </si>
  <si>
    <t>08122</t>
  </si>
  <si>
    <t>Mediona</t>
  </si>
  <si>
    <t>08123</t>
  </si>
  <si>
    <t>Molins de Rei</t>
  </si>
  <si>
    <t>08124</t>
  </si>
  <si>
    <t>Mollet del Vallès</t>
  </si>
  <si>
    <t>08125</t>
  </si>
  <si>
    <t>Montcada i Reixac</t>
  </si>
  <si>
    <t>08126</t>
  </si>
  <si>
    <t>Montgat</t>
  </si>
  <si>
    <t>08134</t>
  </si>
  <si>
    <t>Figaró-Montmany</t>
  </si>
  <si>
    <t>08135</t>
  </si>
  <si>
    <t>Montmeló</t>
  </si>
  <si>
    <t>08136</t>
  </si>
  <si>
    <t>Montornès del Vallès</t>
  </si>
  <si>
    <t>08137</t>
  </si>
  <si>
    <t>Montseny</t>
  </si>
  <si>
    <t>08145</t>
  </si>
  <si>
    <t>Olèrdola</t>
  </si>
  <si>
    <t>08146</t>
  </si>
  <si>
    <t>Olesa de Bonesvalls</t>
  </si>
  <si>
    <t>08147</t>
  </si>
  <si>
    <t>Olesa de Montserrat</t>
  </si>
  <si>
    <t>08148</t>
  </si>
  <si>
    <t>Olivella</t>
  </si>
  <si>
    <t>08153</t>
  </si>
  <si>
    <t>Òrrius</t>
  </si>
  <si>
    <t>08154</t>
  </si>
  <si>
    <t>Pacs del Penedès</t>
  </si>
  <si>
    <t>08155</t>
  </si>
  <si>
    <t>Palafolls</t>
  </si>
  <si>
    <t>08156</t>
  </si>
  <si>
    <t>Palau-solità i Plegamans</t>
  </si>
  <si>
    <t>08157</t>
  </si>
  <si>
    <t>Pallejà</t>
  </si>
  <si>
    <t>08158</t>
  </si>
  <si>
    <t>Papiol, el</t>
  </si>
  <si>
    <t>08159</t>
  </si>
  <si>
    <t>Parets del Vallès</t>
  </si>
  <si>
    <t>08163</t>
  </si>
  <si>
    <t>Pineda de Mar</t>
  </si>
  <si>
    <t>08164</t>
  </si>
  <si>
    <t>Pla del Penedès, el</t>
  </si>
  <si>
    <t>08167</t>
  </si>
  <si>
    <t>Polinyà</t>
  </si>
  <si>
    <t>08168</t>
  </si>
  <si>
    <t>Pontons</t>
  </si>
  <si>
    <t>08169</t>
  </si>
  <si>
    <t>Prat de Llobregat, el</t>
  </si>
  <si>
    <t>08172</t>
  </si>
  <si>
    <t>Premià de Mar</t>
  </si>
  <si>
    <t>08174</t>
  </si>
  <si>
    <t>Puigdàlber</t>
  </si>
  <si>
    <t>08179</t>
  </si>
  <si>
    <t>Rellinars</t>
  </si>
  <si>
    <t>08180</t>
  </si>
  <si>
    <t>Ripollet</t>
  </si>
  <si>
    <t>08181</t>
  </si>
  <si>
    <t>Roca del Vallès, la</t>
  </si>
  <si>
    <t>08184</t>
  </si>
  <si>
    <t>Rubí</t>
  </si>
  <si>
    <t>08187</t>
  </si>
  <si>
    <t>Sabadell</t>
  </si>
  <si>
    <t>08193</t>
  </si>
  <si>
    <t>Sant Iscle de Vallalta</t>
  </si>
  <si>
    <t>08194</t>
  </si>
  <si>
    <t>Sant Adrià de Besòs</t>
  </si>
  <si>
    <t>08196</t>
  </si>
  <si>
    <t>Sant Andreu de la Barca</t>
  </si>
  <si>
    <t>08197</t>
  </si>
  <si>
    <t>Sant Andreu de Llavaneres</t>
  </si>
  <si>
    <t>08198</t>
  </si>
  <si>
    <t>Sant Antoni de Vilamajor</t>
  </si>
  <si>
    <t>08200</t>
  </si>
  <si>
    <t>Sant Boi de Llobregat</t>
  </si>
  <si>
    <t>08202</t>
  </si>
  <si>
    <t>Sant Celoni</t>
  </si>
  <si>
    <t>08203</t>
  </si>
  <si>
    <t>Sant Cebrià de Vallalta</t>
  </si>
  <si>
    <t>08204</t>
  </si>
  <si>
    <t>Sant Climent de Llobregat</t>
  </si>
  <si>
    <t>08205</t>
  </si>
  <si>
    <t>Sant Cugat del Vallès</t>
  </si>
  <si>
    <t>08206</t>
  </si>
  <si>
    <t>Sant Cugat Sesgarrigues</t>
  </si>
  <si>
    <t>08207</t>
  </si>
  <si>
    <t>Sant Esteve de Palautordera</t>
  </si>
  <si>
    <t>08208</t>
  </si>
  <si>
    <t>Sant Esteve Sesrovires</t>
  </si>
  <si>
    <t>08209</t>
  </si>
  <si>
    <t>Sant Fost de Campsentelles</t>
  </si>
  <si>
    <t>08210</t>
  </si>
  <si>
    <t>Sant Feliu de Codines</t>
  </si>
  <si>
    <t>08211</t>
  </si>
  <si>
    <t>Sant Feliu de Llobregat</t>
  </si>
  <si>
    <t>08214</t>
  </si>
  <si>
    <t>Vilassar de Dalt</t>
  </si>
  <si>
    <t>08217</t>
  </si>
  <si>
    <t>Sant Joan Despí</t>
  </si>
  <si>
    <t>08219</t>
  </si>
  <si>
    <t>Vilassar de Mar</t>
  </si>
  <si>
    <t>08221</t>
  </si>
  <si>
    <t>Sant Just Desvern</t>
  </si>
  <si>
    <t>08222</t>
  </si>
  <si>
    <t>Sant Llorenç d'Hortons</t>
  </si>
  <si>
    <t>08223</t>
  </si>
  <si>
    <t>Sant Llorenç Savall</t>
  </si>
  <si>
    <t>08227</t>
  </si>
  <si>
    <t>Sant Martí Sarroca</t>
  </si>
  <si>
    <t>08230</t>
  </si>
  <si>
    <t>Premià de Dalt</t>
  </si>
  <si>
    <t>08231</t>
  </si>
  <si>
    <t>Sant Pere de Ribes</t>
  </si>
  <si>
    <t>08232</t>
  </si>
  <si>
    <t>Sant Pere de Riudebitlles</t>
  </si>
  <si>
    <t>08234</t>
  </si>
  <si>
    <t>Sant Pere de Vilamajor</t>
  </si>
  <si>
    <t>08235</t>
  </si>
  <si>
    <t>Sant Pol de Mar</t>
  </si>
  <si>
    <t>08236</t>
  </si>
  <si>
    <t>Sant Quintí de Mediona</t>
  </si>
  <si>
    <t>08238</t>
  </si>
  <si>
    <t>Sant Quirze del Vallès</t>
  </si>
  <si>
    <t>08239</t>
  </si>
  <si>
    <t>Sant Quirze Safaja</t>
  </si>
  <si>
    <t>08240</t>
  </si>
  <si>
    <t>Sant Sadurní d'Anoia</t>
  </si>
  <si>
    <t>08244</t>
  </si>
  <si>
    <t>Santa Coloma de Cervelló</t>
  </si>
  <si>
    <t>08245</t>
  </si>
  <si>
    <t>Santa Coloma de Gramenet</t>
  </si>
  <si>
    <t>08248</t>
  </si>
  <si>
    <t>Santa Eulàlia de Ronçana</t>
  </si>
  <si>
    <t>08249</t>
  </si>
  <si>
    <t>Santa Fe del Penedès</t>
  </si>
  <si>
    <t>08251</t>
  </si>
  <si>
    <t>Santa Margarida i els Monjos</t>
  </si>
  <si>
    <t>08252</t>
  </si>
  <si>
    <t>Barberà del Vallès</t>
  </si>
  <si>
    <t>08256</t>
  </si>
  <si>
    <t>Santa Maria de Martorelles</t>
  </si>
  <si>
    <t>08259</t>
  </si>
  <si>
    <t>Santa Maria de Palautordera</t>
  </si>
  <si>
    <t>08260</t>
  </si>
  <si>
    <t>Santa Perpètua de Mogoda</t>
  </si>
  <si>
    <t>08261</t>
  </si>
  <si>
    <t>Santa Susanna</t>
  </si>
  <si>
    <t>08263</t>
  </si>
  <si>
    <t>Sant Vicenç dels Horts</t>
  </si>
  <si>
    <t>08264</t>
  </si>
  <si>
    <t>Sant Vicenç de Montalt</t>
  </si>
  <si>
    <t>08266</t>
  </si>
  <si>
    <t>Cerdanyola del Vallès</t>
  </si>
  <si>
    <t>08267</t>
  </si>
  <si>
    <t>Sentmenat</t>
  </si>
  <si>
    <t>08270</t>
  </si>
  <si>
    <t>Sitges</t>
  </si>
  <si>
    <t>08273</t>
  </si>
  <si>
    <t>Subirats</t>
  </si>
  <si>
    <t>08276</t>
  </si>
  <si>
    <t>Tagamanent</t>
  </si>
  <si>
    <t>08279</t>
  </si>
  <si>
    <t>Terrassa</t>
  </si>
  <si>
    <t>08281</t>
  </si>
  <si>
    <t>Teià</t>
  </si>
  <si>
    <t>08282</t>
  </si>
  <si>
    <t>Tiana</t>
  </si>
  <si>
    <t>08284</t>
  </si>
  <si>
    <t>Tordera</t>
  </si>
  <si>
    <t>08287</t>
  </si>
  <si>
    <t>Torrelavit</t>
  </si>
  <si>
    <t>08288</t>
  </si>
  <si>
    <t>Torrelles de Foix</t>
  </si>
  <si>
    <t>08289</t>
  </si>
  <si>
    <t>Torrelles de Llobregat</t>
  </si>
  <si>
    <t>08290</t>
  </si>
  <si>
    <t>Ullastrell</t>
  </si>
  <si>
    <t>08291</t>
  </si>
  <si>
    <t>Vacarisses</t>
  </si>
  <si>
    <t>08294</t>
  </si>
  <si>
    <t>Vallgorguina</t>
  </si>
  <si>
    <t>08295</t>
  </si>
  <si>
    <t>Vallirana</t>
  </si>
  <si>
    <t>08296</t>
  </si>
  <si>
    <t>Vallromanes</t>
  </si>
  <si>
    <t>08300</t>
  </si>
  <si>
    <t>Viladecavalls</t>
  </si>
  <si>
    <t>08301</t>
  </si>
  <si>
    <t>Viladecans</t>
  </si>
  <si>
    <t>08304</t>
  </si>
  <si>
    <t>Vilobí del Penedès</t>
  </si>
  <si>
    <t>08305</t>
  </si>
  <si>
    <t>Vilafranca del Penedès</t>
  </si>
  <si>
    <t>08306</t>
  </si>
  <si>
    <t>Vilalba Sasserra</t>
  </si>
  <si>
    <t>08307</t>
  </si>
  <si>
    <t>Vilanova i la Geltrú</t>
  </si>
  <si>
    <t>08902</t>
  </si>
  <si>
    <t>Vilanova del Vallès</t>
  </si>
  <si>
    <t>08904</t>
  </si>
  <si>
    <t>Badia del Vallès</t>
  </si>
  <si>
    <t>08905</t>
  </si>
  <si>
    <t>La Palma de Cervelló</t>
  </si>
  <si>
    <t>URBANS RESTA SIMMB</t>
  </si>
  <si>
    <t>TOTAL URBANS SIMMB</t>
  </si>
  <si>
    <t>Cotxes</t>
  </si>
  <si>
    <t>Motos</t>
  </si>
  <si>
    <t>Furgonetes</t>
  </si>
  <si>
    <t>Camions</t>
  </si>
  <si>
    <t>Autobusos</t>
  </si>
  <si>
    <t>Autocars</t>
  </si>
  <si>
    <t>SIMMB SOLAPAMENT</t>
  </si>
  <si>
    <t>SIMMB SENSE SOLAPAMENT</t>
  </si>
  <si>
    <t>veh·km/any INTERNS + AGITACIÓ 2017  (x 1.000)</t>
  </si>
  <si>
    <t>Comarca</t>
  </si>
  <si>
    <t>Baix Llobregat</t>
  </si>
  <si>
    <t>Maresme</t>
  </si>
  <si>
    <t>Vallès Oriental</t>
  </si>
  <si>
    <t>Alt Penedès</t>
  </si>
  <si>
    <t>Barcelonès</t>
  </si>
  <si>
    <t>Garraf</t>
  </si>
  <si>
    <t>Vallès Occidental</t>
  </si>
  <si>
    <t>Eina d'impacte de l'aplicació d'una Zona de Baixes Emissions (ZBE) en l'àmbit municipal</t>
  </si>
  <si>
    <t xml:space="preserve">Aplicatiu elaborat per: </t>
  </si>
  <si>
    <t>Nota Metodològica</t>
  </si>
  <si>
    <t>Escull el teu municipi</t>
  </si>
  <si>
    <t>Indica el percentatge de la superfície de la ZBE respecte al total de sòl urbà (en %)</t>
  </si>
  <si>
    <t xml:space="preserve">% de parc mòbil afectat per la restricció respecte al total del parc mòbil del municipi. </t>
  </si>
  <si>
    <t>Nota metodològica: El parc circulant és el resultat dels vehicles que circulen censats als municipis de la SIMMB. S'ha calculat en base al parc censat de la DGT, on s'ha aplicat uns factors de correcció segons dades de camp de l'any 2017 i actualitzat amb el parc circulant amb data 2021.</t>
  </si>
  <si>
    <t xml:space="preserve">     % de turismes</t>
  </si>
  <si>
    <t>CATEGORIA</t>
  </si>
  <si>
    <t>TURISMES</t>
  </si>
  <si>
    <t>FURGONETES</t>
  </si>
  <si>
    <t>CICLOMOTORS</t>
  </si>
  <si>
    <t>MOTOCICLETES</t>
  </si>
  <si>
    <t>CAMIONS</t>
  </si>
  <si>
    <t>AUTOBUSOS</t>
  </si>
  <si>
    <t>TOTAL</t>
  </si>
  <si>
    <t xml:space="preserve">     % furgonetes</t>
  </si>
  <si>
    <t>NO ETIQUETA</t>
  </si>
  <si>
    <t xml:space="preserve">     % de motocicletes i ciclomotors</t>
  </si>
  <si>
    <t>ETIQUETA B</t>
  </si>
  <si>
    <t xml:space="preserve">     % camions </t>
  </si>
  <si>
    <t>ETIQUETA C</t>
  </si>
  <si>
    <t xml:space="preserve">     % autobusos</t>
  </si>
  <si>
    <t>ETIQUETA ECO</t>
  </si>
  <si>
    <t>ETIQUETA 0 EMISSIONS</t>
  </si>
  <si>
    <t>L’impacte que generarà la ZBE fonamentalment es traduirà en: 1) una reducció de la mobilitat (és a dir mobilitat actual que no es farà en el futur degut a la implementació de la ZBE), 2) un canvi modal del vehicle privat cap al transport públic o la mobilitat activa i 3) un manteniment de la mobilitat en vehicle privat però amb un canvi de vehicle cap a un amb unes emissions menors (indiqueu els percentatges en cadascun d'aquests conceptes. Globalment ha de sumar el 100%). Segons les dades de l'EMEF es pot estimar que el canvi de vehicle afecti al 40-45% i la reducció de la mobilitat o el canvi modal a la resta.</t>
  </si>
  <si>
    <t xml:space="preserve">
Utilitzeu un valor mitjà i únic que aproximi el % de motocicletes i ciclomotors afectats per la restricció</t>
  </si>
  <si>
    <t>Canvi de vehicle​</t>
  </si>
  <si>
    <t>Reducció de la mobilitat​</t>
  </si>
  <si>
    <t>Canvi modal​</t>
  </si>
  <si>
    <t xml:space="preserve">Resultats
</t>
  </si>
  <si>
    <t xml:space="preserve">La implementació de la ZBE suposarà una reducció de les emissions i del trànsit rodat del parc més antic. L'impacte estimat de la seva implantació serà de (valor agregat de l'impacte a dins i fora de la ZBE: </t>
  </si>
  <si>
    <t>CICLOMOTORS I MOTOCICLETES</t>
  </si>
  <si>
    <t>Reducció anual de vehicles·km</t>
  </si>
  <si>
    <t>% de reducció sobre el total de vehicles·km del municipi</t>
  </si>
  <si>
    <t>Total de veh·km del municipi abans d'implantar la ZBE</t>
  </si>
  <si>
    <t>Reducció anual de les emissions de CO2 en tones</t>
  </si>
  <si>
    <t>Reducció anual de les emissions de NOx en kg</t>
  </si>
  <si>
    <t>Reducció anual de les emissions de PM10 en kg</t>
  </si>
  <si>
    <t>Reducció en l'impacte acústic en el conjunt del municipi (en dB(A)</t>
  </si>
  <si>
    <t xml:space="preserve">     % de motocicletes</t>
  </si>
  <si>
    <t xml:space="preserve">Els resultats de la vostra simulació són els següents: 
</t>
  </si>
  <si>
    <t xml:space="preserve">La implementació de la ZBE suposarà una reducció de les emissions i del trànsit rodat del parc més antic. L'impacte estimat de la seva implantació serà de (valor agregat de l'impacte a dins i fora de la ZBE): </t>
  </si>
  <si>
    <t>Reducció en l'impacte acústic en el conjunt del municipi en dB(A)</t>
  </si>
  <si>
    <r>
      <t>Categoria_DG</t>
    </r>
    <r>
      <rPr>
        <sz val="11"/>
        <color rgb="FF000000"/>
        <rFont val="Calibri"/>
        <family val="2"/>
      </rPr>
      <t>T</t>
    </r>
  </si>
  <si>
    <t>STOCK</t>
  </si>
  <si>
    <t>NOx g/Km</t>
  </si>
  <si>
    <t>PM_10_TOTAL g/Km</t>
  </si>
  <si>
    <t>PM_10_NON_EXHAUST g/Km</t>
  </si>
  <si>
    <t>Passenger Cars_Sense Etiqueta</t>
  </si>
  <si>
    <t>   190.844,00  </t>
  </si>
  <si>
    <t>Passenger Cars_C</t>
  </si>
  <si>
    <t>   795.558,80  </t>
  </si>
  <si>
    <t>Passenger Cars_B</t>
  </si>
  <si>
    <t>   528.113,00  </t>
  </si>
  <si>
    <t>Passenger Cars_ECO</t>
  </si>
  <si>
    <t>     34.453,20  </t>
  </si>
  <si>
    <t>Light Commercial Vehicles_Sense Etiqueta</t>
  </si>
  <si>
    <t>     75.404,00  </t>
  </si>
  <si>
    <t>Light Commercial Vehicles_B</t>
  </si>
  <si>
    <t>     95.477,00  </t>
  </si>
  <si>
    <t>Light Commercial Vehicles_C</t>
  </si>
  <si>
    <t>     64.374,00  </t>
  </si>
  <si>
    <t>Heavy Duty Trucks_Sense Etiqueta</t>
  </si>
  <si>
    <t>       5.511,00  </t>
  </si>
  <si>
    <t>Heavy Duty Trucks_B</t>
  </si>
  <si>
    <t>       5.171,00  </t>
  </si>
  <si>
    <t>Heavy Duty Trucks_C</t>
  </si>
  <si>
    <t>       8.841,00  </t>
  </si>
  <si>
    <t>Buses_Sense Etiqueta</t>
  </si>
  <si>
    <t>           702,00  </t>
  </si>
  <si>
    <t>Buses_B</t>
  </si>
  <si>
    <t>       1.112,00  </t>
  </si>
  <si>
    <t>Buses_C</t>
  </si>
  <si>
    <t>       1.925,00  </t>
  </si>
  <si>
    <t>Buses_ECO</t>
  </si>
  <si>
    <t>           561,00  </t>
  </si>
  <si>
    <t>L-Category_Ciclomotor_Sense Etiqueta</t>
  </si>
  <si>
    <t>       2.872,00  </t>
  </si>
  <si>
    <t>L-Category_Ciclomotor_B</t>
  </si>
  <si>
    <t>     12.527,00  </t>
  </si>
  <si>
    <t>L-Category_Ciclomotor_C</t>
  </si>
  <si>
    <t>       6.571,00  </t>
  </si>
  <si>
    <t>L-Category_Moto_Sense Etiqueta</t>
  </si>
  <si>
    <t>     33.592,00  </t>
  </si>
  <si>
    <t>L-Category_Moto_B</t>
  </si>
  <si>
    <t>     37.522,00  </t>
  </si>
  <si>
    <t>L-Category_Moto_C</t>
  </si>
  <si>
    <t>   258.735,00  </t>
  </si>
  <si>
    <t>Impacte Veh·km ZBE</t>
  </si>
  <si>
    <t>Veh·km fora ZBE</t>
  </si>
  <si>
    <t>Impacte total</t>
  </si>
  <si>
    <t>Impacte ZBE reducció mobilitat</t>
  </si>
  <si>
    <t>Impacte ZBE canvi de cotxe</t>
  </si>
  <si>
    <t>Impacte ZBE NOX</t>
  </si>
  <si>
    <t>Impacte ZBE PM10</t>
  </si>
  <si>
    <t>Impacte ZBE CO2</t>
  </si>
  <si>
    <t>veh·km/any INTERNS + AGITACIÓ 2019  (x 1.000)</t>
  </si>
  <si>
    <t>veh·km/any CONNEXIO + PAS 2019  (x 1.000)</t>
  </si>
  <si>
    <t>veh·km/any TOTALS 2019  (x 1.000)</t>
  </si>
  <si>
    <t>NOX G</t>
  </si>
  <si>
    <t>PM10</t>
  </si>
  <si>
    <t>CO2</t>
  </si>
  <si>
    <t>Manresa</t>
  </si>
  <si>
    <t>Vic</t>
  </si>
  <si>
    <t>Igualada</t>
  </si>
  <si>
    <t>Manlleu</t>
  </si>
  <si>
    <t>Gr NOX/KM</t>
  </si>
  <si>
    <t>Combustible</t>
  </si>
  <si>
    <t>Reducció considerada</t>
  </si>
  <si>
    <r>
      <t>Categoria_DG</t>
    </r>
    <r>
      <rPr>
        <sz val="9"/>
        <color rgb="FF000000"/>
        <rFont val="Calibri"/>
        <family val="2"/>
      </rPr>
      <t>T</t>
    </r>
  </si>
  <si>
    <t>Turismes</t>
  </si>
  <si>
    <t>Mercaderies lleugeres</t>
  </si>
  <si>
    <t>Motocicletes i ciclomotors</t>
  </si>
  <si>
    <t>Mercaderies pesants</t>
  </si>
  <si>
    <t>Autobusos/</t>
  </si>
  <si>
    <t>Mode ferroviari</t>
  </si>
  <si>
    <t>Gr pm10/KM</t>
  </si>
  <si>
    <t>Codi_ine_5_txt</t>
  </si>
  <si>
    <t>Codi_ine_6_txt</t>
  </si>
  <si>
    <t>NomMun</t>
  </si>
  <si>
    <t>Poblacio_padro</t>
  </si>
  <si>
    <t>05_SUC</t>
  </si>
  <si>
    <t>A</t>
  </si>
  <si>
    <t>No A</t>
  </si>
  <si>
    <t xml:space="preserve">Formula </t>
  </si>
  <si>
    <t>Impacte No A</t>
  </si>
  <si>
    <t>Impacte dins la ZBE (100%)</t>
  </si>
  <si>
    <t>Impacte dins la ZBE=A/(1*(1/A))</t>
  </si>
  <si>
    <t>Nivell de tolerància amb les exempcions</t>
  </si>
  <si>
    <t>Alta</t>
  </si>
  <si>
    <t>Mitja</t>
  </si>
  <si>
    <t>Baixa</t>
  </si>
  <si>
    <t>Població</t>
  </si>
  <si>
    <t>Codi Idescat</t>
  </si>
  <si>
    <t>Província</t>
  </si>
  <si>
    <t>080155</t>
  </si>
  <si>
    <t>080517</t>
  </si>
  <si>
    <t>080569</t>
  </si>
  <si>
    <t>080734</t>
  </si>
  <si>
    <t>080771</t>
  </si>
  <si>
    <t>080863</t>
  </si>
  <si>
    <t>080898</t>
  </si>
  <si>
    <t>080961</t>
  </si>
  <si>
    <t>081017</t>
  </si>
  <si>
    <t>081022</t>
  </si>
  <si>
    <t>081120</t>
  </si>
  <si>
    <t>081136</t>
  </si>
  <si>
    <t>081141</t>
  </si>
  <si>
    <t>081189</t>
  </si>
  <si>
    <t>081213</t>
  </si>
  <si>
    <t>081234</t>
  </si>
  <si>
    <t>081249</t>
  </si>
  <si>
    <t>081252</t>
  </si>
  <si>
    <t>081477</t>
  </si>
  <si>
    <t>081635</t>
  </si>
  <si>
    <t>081691</t>
  </si>
  <si>
    <t>081727</t>
  </si>
  <si>
    <t>081803</t>
  </si>
  <si>
    <t>081846</t>
  </si>
  <si>
    <t>081878</t>
  </si>
  <si>
    <t>081944</t>
  </si>
  <si>
    <t>081960</t>
  </si>
  <si>
    <t>082009</t>
  </si>
  <si>
    <t>082055</t>
  </si>
  <si>
    <t>082114</t>
  </si>
  <si>
    <t>082172</t>
  </si>
  <si>
    <t>082191</t>
  </si>
  <si>
    <t>082310</t>
  </si>
  <si>
    <t>082384</t>
  </si>
  <si>
    <t>082457</t>
  </si>
  <si>
    <t>082520</t>
  </si>
  <si>
    <t>082606</t>
  </si>
  <si>
    <t>082634</t>
  </si>
  <si>
    <t>082665</t>
  </si>
  <si>
    <t>082704</t>
  </si>
  <si>
    <t>082798</t>
  </si>
  <si>
    <t>082981</t>
  </si>
  <si>
    <t>083015</t>
  </si>
  <si>
    <t>083054</t>
  </si>
  <si>
    <t>083073</t>
  </si>
  <si>
    <t>170237</t>
  </si>
  <si>
    <t>Girona</t>
  </si>
  <si>
    <t>Blanes</t>
  </si>
  <si>
    <t>170669</t>
  </si>
  <si>
    <t>Figueres</t>
  </si>
  <si>
    <t>170792</t>
  </si>
  <si>
    <t>170950</t>
  </si>
  <si>
    <t>Lloret de Mar</t>
  </si>
  <si>
    <t>171175</t>
  </si>
  <si>
    <t>Palafrugell</t>
  </si>
  <si>
    <t>171557</t>
  </si>
  <si>
    <t>Salt</t>
  </si>
  <si>
    <t>171609</t>
  </si>
  <si>
    <t>Sant Feliu de Guíxols</t>
  </si>
  <si>
    <t>251207</t>
  </si>
  <si>
    <t>Lleida</t>
  </si>
  <si>
    <t>430141</t>
  </si>
  <si>
    <t>Tarragona</t>
  </si>
  <si>
    <t>Amposta</t>
  </si>
  <si>
    <t>430379</t>
  </si>
  <si>
    <t>Calafell</t>
  </si>
  <si>
    <t>430385</t>
  </si>
  <si>
    <t>Cambrils</t>
  </si>
  <si>
    <t>431233</t>
  </si>
  <si>
    <t>Reus</t>
  </si>
  <si>
    <t>431482</t>
  </si>
  <si>
    <t>431554</t>
  </si>
  <si>
    <t>Tortosa</t>
  </si>
  <si>
    <t>431613</t>
  </si>
  <si>
    <t>Valls</t>
  </si>
  <si>
    <t>431634</t>
  </si>
  <si>
    <t>Vendrell, el</t>
  </si>
  <si>
    <t>431711</t>
  </si>
  <si>
    <t>Vila-seca</t>
  </si>
  <si>
    <t>439057</t>
  </si>
  <si>
    <t>Salou</t>
  </si>
  <si>
    <t>En el marc dels treballs del pdM, l’ATM de Barcelona va elaborar una matriu de mobilitat que per a cadascun dels municipis de l’àmbit SIMMB, la qual feia una aproximació dels vehicles·km urbans que es generaven al seu municipi (dades de l’any 2017), diferenciant vehicles·km per a turismes, motocicletes i ciclomotors, mercaderies lleugeres, mercaderies pesants i autobusos.  A partir d'aquesta matriu, s'ha l'extrapolat les dades de vehicles·km per a l'any 2019, a partir de l'evolució de la mobilitat en l'àmbit urbà que es detalla a l'Informe de Seguiment de l’evolució de la mobilitat i les emissions de gasos d’efecte hivernacle i contaminants a la Regió Metropolitana de Barcelona el 2019. En el cas dels municipis de fora de l'àmbit SIMMB, s'ha fet una extrapolació dels vehicles·km a partir de l'EMQ 2006 i el parc mòbil del municipi. 
El seguent aplicatiu permet d'una aproximació de l'impacte de l'aplicació d'una ZBE en els diferents municipis. En el següent aplicatiu només resulten editables les cel·les ombrejades de color verd clar.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</si>
</sst>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0"/>
    <numFmt numFmtId="169" formatCode="0.000"/>
    <numFmt numFmtId="170" formatCode="#,##0.0"/>
  </numFmts>
  <fonts count="33" x14ac:knownFonts="1">
    <font>
      <sz val="11"/>
      <color theme="1"/>
      <name val="Calibri"/>
      <family val="2"/>
      <scheme val="minor"/>
    </font>
    <font>
      <b/>
      <sz val="11"/>
      <color rgb="FFFFFFFF"/>
      <name val="Calibri"/>
      <family val="2"/>
    </font>
    <font>
      <sz val="11"/>
      <color rgb="FF000000"/>
      <name val="Calibri"/>
      <family val="2"/>
    </font>
    <font>
      <sz val="12"/>
      <color rgb="FF000000"/>
      <name val="Calibri"/>
      <family val="2"/>
      <scheme val="minor"/>
    </font>
    <font>
      <b/>
      <sz val="11"/>
      <color theme="1"/>
      <name val="Calibri"/>
      <family val="2"/>
      <scheme val="minor"/>
    </font>
    <font>
      <i/>
      <sz val="11"/>
      <color rgb="FF000000"/>
      <name val="Calibri"/>
      <family val="2"/>
    </font>
    <font>
      <sz val="10"/>
      <color theme="1"/>
      <name val="Calibri"/>
      <family val="2"/>
    </font>
    <font>
      <sz val="8"/>
      <name val="Arial"/>
      <family val="2"/>
    </font>
    <font>
      <b/>
      <sz val="8"/>
      <name val="Arial"/>
      <family val="2"/>
    </font>
    <font>
      <b/>
      <sz val="8"/>
      <color rgb="FFFF0000"/>
      <name val="Arial"/>
      <family val="2"/>
    </font>
    <font>
      <sz val="11"/>
      <color theme="1"/>
      <name val="Calibri"/>
      <family val="2"/>
      <scheme val="minor"/>
    </font>
    <font>
      <sz val="9"/>
      <name val="Arial"/>
      <family val="2"/>
    </font>
    <font>
      <sz val="10"/>
      <name val="Arial"/>
      <family val="2"/>
    </font>
    <font>
      <i/>
      <sz val="10"/>
      <color theme="1"/>
      <name val="Calibri"/>
      <family val="2"/>
    </font>
    <font>
      <sz val="10"/>
      <color theme="1"/>
      <name val="Arial"/>
      <family val="2"/>
    </font>
    <font>
      <sz val="10"/>
      <color rgb="FF000000"/>
      <name val="Arial"/>
      <family val="2"/>
    </font>
    <font>
      <sz val="8"/>
      <name val="Calibri"/>
      <family val="2"/>
      <scheme val="minor"/>
    </font>
    <font>
      <sz val="8"/>
      <color theme="1"/>
      <name val="Arial"/>
      <family val="2"/>
    </font>
    <font>
      <sz val="11"/>
      <color rgb="FFFF0000"/>
      <name val="Calibri"/>
      <family val="2"/>
      <scheme val="minor"/>
    </font>
    <font>
      <sz val="10"/>
      <color theme="0"/>
      <name val="Arial"/>
      <family val="2"/>
    </font>
    <font>
      <sz val="9"/>
      <color theme="1"/>
      <name val="Arial"/>
      <family val="2"/>
    </font>
    <font>
      <sz val="10"/>
      <color rgb="FFFF0000"/>
      <name val="Arial"/>
      <family val="2"/>
    </font>
    <font>
      <b/>
      <sz val="7"/>
      <color rgb="FF000000"/>
      <name val="Arial"/>
      <family val="2"/>
    </font>
    <font>
      <sz val="7"/>
      <color rgb="FF000000"/>
      <name val="Arial"/>
      <family val="2"/>
    </font>
    <font>
      <b/>
      <sz val="10"/>
      <color theme="1"/>
      <name val="Arial"/>
      <family val="2"/>
    </font>
    <font>
      <sz val="11"/>
      <color theme="1"/>
      <name val="Calibri"/>
      <family val="2"/>
    </font>
    <font>
      <b/>
      <sz val="8"/>
      <color theme="1"/>
      <name val="Arial"/>
      <family val="2"/>
    </font>
    <font>
      <sz val="9"/>
      <color theme="1"/>
      <name val="Calibri"/>
      <family val="2"/>
    </font>
    <font>
      <sz val="9"/>
      <color rgb="FF000000"/>
      <name val="Calibri"/>
      <family val="2"/>
    </font>
    <font>
      <sz val="18"/>
      <color theme="1"/>
      <name val="Arial"/>
      <family val="2"/>
    </font>
    <font>
      <sz val="9"/>
      <color theme="0"/>
      <name val="Arial"/>
      <family val="2"/>
    </font>
    <font>
      <b/>
      <sz val="9"/>
      <color theme="1"/>
      <name val="Arial"/>
      <family val="2"/>
    </font>
    <font>
      <sz val="9"/>
      <color rgb="FFFF0000"/>
      <name val="Arial"/>
      <family val="2"/>
    </font>
  </fonts>
  <fills count="80">
    <fill>
      <patternFill patternType="none"/>
    </fill>
    <fill>
      <patternFill patternType="gray125"/>
    </fill>
    <fill>
      <patternFill patternType="solid">
        <fgColor rgb="FF375623"/>
        <bgColor indexed="64"/>
      </patternFill>
    </fill>
    <fill>
      <patternFill patternType="solid">
        <fgColor rgb="FFFFFFFF"/>
        <bgColor indexed="64"/>
      </patternFill>
    </fill>
    <fill>
      <patternFill patternType="solid">
        <fgColor rgb="FF339933"/>
        <bgColor indexed="64"/>
      </patternFill>
    </fill>
    <fill>
      <patternFill patternType="solid">
        <fgColor rgb="FFC6E0B4"/>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4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52"/>
        <bgColor indexed="64"/>
      </patternFill>
    </fill>
    <fill>
      <patternFill patternType="solid">
        <fgColor indexed="49"/>
        <bgColor indexed="64"/>
      </patternFill>
    </fill>
    <fill>
      <patternFill patternType="solid">
        <fgColor theme="7"/>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6666"/>
        <bgColor indexed="64"/>
      </patternFill>
    </fill>
    <fill>
      <patternFill patternType="solid">
        <fgColor theme="9" tint="0.59999389629810485"/>
        <bgColor indexed="64"/>
      </patternFill>
    </fill>
    <fill>
      <patternFill patternType="solid">
        <fgColor rgb="FF00B0F0"/>
        <bgColor indexed="64"/>
      </patternFill>
    </fill>
    <fill>
      <patternFill patternType="solid">
        <fgColor theme="5" tint="0.39997558519241921"/>
        <bgColor indexed="64"/>
      </patternFill>
    </fill>
    <fill>
      <patternFill patternType="solid">
        <fgColor rgb="FFD9D9D9"/>
        <bgColor indexed="64"/>
      </patternFill>
    </fill>
    <fill>
      <patternFill patternType="solid">
        <fgColor rgb="FFF2F2F2"/>
        <bgColor indexed="64"/>
      </patternFill>
    </fill>
    <fill>
      <patternFill patternType="solid">
        <fgColor theme="7" tint="0.39997558519241921"/>
        <bgColor indexed="64"/>
      </patternFill>
    </fill>
    <fill>
      <patternFill patternType="solid">
        <fgColor rgb="FFBFBFBF"/>
        <bgColor indexed="64"/>
      </patternFill>
    </fill>
    <fill>
      <patternFill patternType="solid">
        <fgColor rgb="FFFCF8FB"/>
        <bgColor indexed="64"/>
      </patternFill>
    </fill>
    <fill>
      <patternFill patternType="solid">
        <fgColor rgb="FFFCF3F6"/>
        <bgColor indexed="64"/>
      </patternFill>
    </fill>
    <fill>
      <patternFill patternType="solid">
        <fgColor rgb="FFCFDCEF"/>
        <bgColor indexed="64"/>
      </patternFill>
    </fill>
    <fill>
      <patternFill patternType="solid">
        <fgColor rgb="FF94B3DA"/>
        <bgColor indexed="64"/>
      </patternFill>
    </fill>
    <fill>
      <patternFill patternType="solid">
        <fgColor rgb="FF85A8D5"/>
        <bgColor indexed="64"/>
      </patternFill>
    </fill>
    <fill>
      <patternFill patternType="solid">
        <fgColor rgb="FFFCFBFE"/>
        <bgColor indexed="64"/>
      </patternFill>
    </fill>
    <fill>
      <patternFill patternType="solid">
        <fgColor rgb="FFAFC5E3"/>
        <bgColor indexed="64"/>
      </patternFill>
    </fill>
    <fill>
      <patternFill patternType="solid">
        <fgColor rgb="FF5A8AC6"/>
        <bgColor indexed="64"/>
      </patternFill>
    </fill>
    <fill>
      <patternFill patternType="solid">
        <fgColor rgb="FF83A6D4"/>
        <bgColor indexed="64"/>
      </patternFill>
    </fill>
    <fill>
      <patternFill patternType="solid">
        <fgColor rgb="FFFCF1F4"/>
        <bgColor indexed="64"/>
      </patternFill>
    </fill>
    <fill>
      <patternFill patternType="solid">
        <fgColor rgb="FFFCECEF"/>
        <bgColor indexed="64"/>
      </patternFill>
    </fill>
    <fill>
      <patternFill patternType="solid">
        <fgColor rgb="FFFCF2F5"/>
        <bgColor indexed="64"/>
      </patternFill>
    </fill>
    <fill>
      <patternFill patternType="solid">
        <fgColor rgb="FFDDE6F4"/>
        <bgColor indexed="64"/>
      </patternFill>
    </fill>
    <fill>
      <patternFill patternType="solid">
        <fgColor rgb="FFC7D7EC"/>
        <bgColor indexed="64"/>
      </patternFill>
    </fill>
    <fill>
      <patternFill patternType="solid">
        <fgColor rgb="FFAEC5E3"/>
        <bgColor indexed="64"/>
      </patternFill>
    </fill>
    <fill>
      <patternFill patternType="solid">
        <fgColor rgb="FFF98184"/>
        <bgColor indexed="64"/>
      </patternFill>
    </fill>
    <fill>
      <patternFill patternType="solid">
        <fgColor rgb="FFF97B7D"/>
        <bgColor indexed="64"/>
      </patternFill>
    </fill>
    <fill>
      <patternFill patternType="solid">
        <fgColor rgb="FFF96A6C"/>
        <bgColor indexed="64"/>
      </patternFill>
    </fill>
    <fill>
      <patternFill patternType="solid">
        <fgColor rgb="FFFAB3B5"/>
        <bgColor indexed="64"/>
      </patternFill>
    </fill>
    <fill>
      <patternFill patternType="solid">
        <fgColor rgb="FFFCDDE0"/>
        <bgColor indexed="64"/>
      </patternFill>
    </fill>
    <fill>
      <patternFill patternType="solid">
        <fgColor rgb="FFF8696B"/>
        <bgColor indexed="64"/>
      </patternFill>
    </fill>
    <fill>
      <patternFill patternType="solid">
        <fgColor rgb="FFFCFAFD"/>
        <bgColor indexed="64"/>
      </patternFill>
    </fill>
    <fill>
      <patternFill patternType="solid">
        <fgColor rgb="FFFCEAED"/>
        <bgColor indexed="64"/>
      </patternFill>
    </fill>
    <fill>
      <patternFill patternType="solid">
        <fgColor rgb="FFF9787A"/>
        <bgColor indexed="64"/>
      </patternFill>
    </fill>
    <fill>
      <patternFill patternType="solid">
        <fgColor rgb="FFFAA5A7"/>
        <bgColor indexed="64"/>
      </patternFill>
    </fill>
    <fill>
      <patternFill patternType="solid">
        <fgColor rgb="FFFCDCDF"/>
        <bgColor indexed="64"/>
      </patternFill>
    </fill>
    <fill>
      <patternFill patternType="solid">
        <fgColor rgb="FFFCF9FC"/>
        <bgColor indexed="64"/>
      </patternFill>
    </fill>
    <fill>
      <patternFill patternType="solid">
        <fgColor rgb="FF6591C9"/>
        <bgColor indexed="64"/>
      </patternFill>
    </fill>
    <fill>
      <patternFill patternType="solid">
        <fgColor rgb="FFF97E80"/>
        <bgColor indexed="64"/>
      </patternFill>
    </fill>
    <fill>
      <patternFill patternType="solid">
        <fgColor rgb="FF7AA1D1"/>
        <bgColor indexed="64"/>
      </patternFill>
    </fill>
    <fill>
      <patternFill patternType="solid">
        <fgColor rgb="FF92B1D9"/>
        <bgColor indexed="64"/>
      </patternFill>
    </fill>
    <fill>
      <patternFill patternType="solid">
        <fgColor rgb="FFA3BDDF"/>
        <bgColor indexed="64"/>
      </patternFill>
    </fill>
    <fill>
      <patternFill patternType="solid">
        <fgColor rgb="FF759DCF"/>
        <bgColor indexed="64"/>
      </patternFill>
    </fill>
    <fill>
      <patternFill patternType="solid">
        <fgColor rgb="FF6894CB"/>
        <bgColor indexed="64"/>
      </patternFill>
    </fill>
    <fill>
      <patternFill patternType="solid">
        <fgColor rgb="FF8FAFD8"/>
        <bgColor indexed="64"/>
      </patternFill>
    </fill>
    <fill>
      <patternFill patternType="solid">
        <fgColor rgb="FFFCFCFF"/>
        <bgColor indexed="64"/>
      </patternFill>
    </fill>
    <fill>
      <patternFill patternType="solid">
        <fgColor rgb="FF7EA3D2"/>
        <bgColor indexed="64"/>
      </patternFill>
    </fill>
    <fill>
      <patternFill patternType="solid">
        <fgColor rgb="FF769ED0"/>
        <bgColor indexed="64"/>
      </patternFill>
    </fill>
    <fill>
      <patternFill patternType="solid">
        <fgColor rgb="FF5C8BC6"/>
        <bgColor indexed="64"/>
      </patternFill>
    </fill>
    <fill>
      <patternFill patternType="solid">
        <fgColor rgb="FFECF1F9"/>
        <bgColor indexed="64"/>
      </patternFill>
    </fill>
    <fill>
      <patternFill patternType="solid">
        <fgColor rgb="FFF8F9FD"/>
        <bgColor indexed="64"/>
      </patternFill>
    </fill>
    <fill>
      <patternFill patternType="solid">
        <fgColor rgb="FFDEE7F4"/>
        <bgColor indexed="64"/>
      </patternFill>
    </fill>
    <fill>
      <patternFill patternType="solid">
        <fgColor rgb="FFF4F7FC"/>
        <bgColor indexed="64"/>
      </patternFill>
    </fill>
    <fill>
      <patternFill patternType="solid">
        <fgColor rgb="FFF97F81"/>
        <bgColor indexed="64"/>
      </patternFill>
    </fill>
    <fill>
      <patternFill patternType="solid">
        <fgColor rgb="FFFA8F92"/>
        <bgColor indexed="64"/>
      </patternFill>
    </fill>
    <fill>
      <patternFill patternType="solid">
        <fgColor rgb="FFF98E90"/>
        <bgColor indexed="64"/>
      </patternFill>
    </fill>
    <fill>
      <patternFill patternType="solid">
        <fgColor rgb="FFF9797B"/>
        <bgColor indexed="64"/>
      </patternFill>
    </fill>
    <fill>
      <patternFill patternType="solid">
        <fgColor rgb="FF6E98CD"/>
        <bgColor indexed="64"/>
      </patternFill>
    </fill>
    <fill>
      <patternFill patternType="solid">
        <fgColor rgb="FF6290C9"/>
        <bgColor indexed="64"/>
      </patternFill>
    </fill>
  </fills>
  <borders count="33">
    <border>
      <left/>
      <right/>
      <top/>
      <bottom/>
      <diagonal/>
    </border>
    <border>
      <left style="medium">
        <color rgb="FFD4D4D4"/>
      </left>
      <right/>
      <top style="medium">
        <color rgb="FFD4D4D4"/>
      </top>
      <bottom style="medium">
        <color rgb="FFD4D4D4"/>
      </bottom>
      <diagonal/>
    </border>
    <border>
      <left/>
      <right/>
      <top style="medium">
        <color rgb="FFD4D4D4"/>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bottom style="medium">
        <color rgb="FFD4D4D4"/>
      </bottom>
      <diagonal/>
    </border>
    <border>
      <left/>
      <right style="medium">
        <color rgb="FFD4D4D4"/>
      </right>
      <top/>
      <bottom style="medium">
        <color rgb="FFD4D4D4"/>
      </bottom>
      <diagonal/>
    </border>
    <border>
      <left/>
      <right style="medium">
        <color rgb="FFD4D4D4"/>
      </right>
      <top/>
      <bottom/>
      <diagonal/>
    </border>
    <border>
      <left/>
      <right/>
      <top/>
      <bottom style="medium">
        <color rgb="FFD4D4D4"/>
      </bottom>
      <diagonal/>
    </border>
    <border>
      <left style="medium">
        <color rgb="FFD4D4D4"/>
      </left>
      <right style="medium">
        <color rgb="FFD4D4D4"/>
      </right>
      <top style="medium">
        <color rgb="FFD4D4D4"/>
      </top>
      <bottom/>
      <diagonal/>
    </border>
    <border>
      <left style="medium">
        <color rgb="FFD4D4D4"/>
      </left>
      <right/>
      <top style="medium">
        <color rgb="FFD4D4D4"/>
      </top>
      <bottom/>
      <diagonal/>
    </border>
    <border>
      <left/>
      <right/>
      <top style="medium">
        <color rgb="FFD4D4D4"/>
      </top>
      <bottom/>
      <diagonal/>
    </border>
    <border>
      <left/>
      <right style="medium">
        <color rgb="FFD4D4D4"/>
      </right>
      <top style="medium">
        <color rgb="FFD4D4D4"/>
      </top>
      <bottom/>
      <diagonal/>
    </border>
    <border>
      <left style="medium">
        <color rgb="FFD4D4D4"/>
      </left>
      <right/>
      <top/>
      <bottom style="medium">
        <color rgb="FFD4D4D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6" fillId="0" borderId="0"/>
    <xf numFmtId="9" fontId="6" fillId="0" borderId="0" applyFont="0" applyFill="0" applyBorder="0" applyAlignment="0" applyProtection="0"/>
    <xf numFmtId="9" fontId="10" fillId="0" borderId="0" applyFont="0" applyFill="0" applyBorder="0" applyAlignment="0" applyProtection="0"/>
    <xf numFmtId="0" fontId="12" fillId="0" borderId="0"/>
  </cellStyleXfs>
  <cellXfs count="275">
    <xf numFmtId="0" fontId="0" fillId="0" borderId="0" xfId="0"/>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3" fontId="2" fillId="0" borderId="5" xfId="0" applyNumberFormat="1" applyFont="1" applyBorder="1" applyAlignment="1">
      <alignment horizontal="center" vertical="center" wrapText="1"/>
    </xf>
    <xf numFmtId="3" fontId="2" fillId="5"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0" fontId="2" fillId="0" borderId="5" xfId="0" applyNumberFormat="1" applyFont="1" applyBorder="1" applyAlignment="1">
      <alignment horizontal="center" vertical="center" wrapText="1"/>
    </xf>
    <xf numFmtId="10" fontId="2" fillId="5" borderId="5" xfId="0" applyNumberFormat="1" applyFont="1" applyFill="1" applyBorder="1" applyAlignment="1">
      <alignment horizontal="center" vertical="center" wrapText="1"/>
    </xf>
    <xf numFmtId="0" fontId="0" fillId="0" borderId="0" xfId="0" applyAlignment="1">
      <alignment horizontal="center"/>
    </xf>
    <xf numFmtId="0" fontId="2"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5" borderId="4"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xf numFmtId="2" fontId="0" fillId="0" borderId="0" xfId="0" applyNumberFormat="1"/>
    <xf numFmtId="165" fontId="0" fillId="0" borderId="0" xfId="0" applyNumberFormat="1"/>
    <xf numFmtId="3" fontId="5" fillId="3" borderId="5" xfId="0" applyNumberFormat="1" applyFont="1" applyFill="1" applyBorder="1" applyAlignment="1">
      <alignment horizontal="center" vertical="center" wrapText="1"/>
    </xf>
    <xf numFmtId="10" fontId="0" fillId="0" borderId="0" xfId="0" applyNumberFormat="1"/>
    <xf numFmtId="0" fontId="7" fillId="0" borderId="13" xfId="1" applyFont="1" applyBorder="1" applyAlignment="1">
      <alignment horizontal="center" vertical="center" wrapText="1"/>
    </xf>
    <xf numFmtId="0" fontId="7" fillId="6" borderId="13" xfId="1" applyFont="1" applyFill="1" applyBorder="1" applyAlignment="1">
      <alignment horizontal="center" vertical="center" wrapText="1"/>
    </xf>
    <xf numFmtId="0" fontId="7" fillId="7" borderId="13" xfId="1" applyFont="1" applyFill="1" applyBorder="1" applyAlignment="1">
      <alignment horizontal="center" vertical="center" wrapText="1"/>
    </xf>
    <xf numFmtId="0" fontId="7" fillId="8" borderId="13" xfId="1" applyFont="1" applyFill="1" applyBorder="1" applyAlignment="1">
      <alignment horizontal="center" vertical="center" wrapText="1"/>
    </xf>
    <xf numFmtId="0" fontId="7" fillId="9" borderId="13" xfId="1" applyFont="1" applyFill="1" applyBorder="1" applyAlignment="1">
      <alignment horizontal="center" vertical="center" wrapText="1"/>
    </xf>
    <xf numFmtId="0" fontId="7" fillId="10" borderId="13" xfId="1" applyFont="1" applyFill="1" applyBorder="1" applyAlignment="1">
      <alignment horizontal="center" vertical="center" wrapText="1"/>
    </xf>
    <xf numFmtId="0" fontId="7" fillId="11" borderId="13" xfId="1" applyFont="1" applyFill="1" applyBorder="1" applyAlignment="1">
      <alignment horizontal="center" vertical="center" wrapText="1"/>
    </xf>
    <xf numFmtId="0" fontId="7" fillId="12" borderId="13" xfId="1" applyFont="1" applyFill="1" applyBorder="1" applyAlignment="1">
      <alignment horizontal="center" vertical="center" wrapText="1"/>
    </xf>
    <xf numFmtId="0" fontId="7" fillId="13" borderId="13" xfId="1" applyFont="1" applyFill="1" applyBorder="1" applyAlignment="1">
      <alignment horizontal="center" vertical="center" wrapText="1"/>
    </xf>
    <xf numFmtId="0" fontId="7" fillId="14" borderId="13" xfId="1" applyFont="1" applyFill="1" applyBorder="1" applyAlignment="1">
      <alignment horizontal="center" vertical="center" wrapText="1"/>
    </xf>
    <xf numFmtId="0" fontId="7" fillId="15" borderId="13" xfId="1" applyFont="1" applyFill="1" applyBorder="1" applyAlignment="1">
      <alignment horizontal="center" vertical="center" wrapText="1"/>
    </xf>
    <xf numFmtId="0" fontId="6" fillId="0" borderId="0" xfId="1"/>
    <xf numFmtId="0" fontId="7" fillId="0" borderId="13" xfId="1" applyFont="1" applyBorder="1" applyAlignment="1">
      <alignment horizontal="center"/>
    </xf>
    <xf numFmtId="0" fontId="7" fillId="0" borderId="13" xfId="1" applyFont="1" applyBorder="1"/>
    <xf numFmtId="3" fontId="7" fillId="0" borderId="13" xfId="1" applyNumberFormat="1" applyFont="1" applyBorder="1"/>
    <xf numFmtId="3" fontId="8" fillId="0" borderId="13" xfId="1" applyNumberFormat="1" applyFont="1" applyBorder="1"/>
    <xf numFmtId="164" fontId="7" fillId="0" borderId="13" xfId="2" applyNumberFormat="1" applyFont="1" applyBorder="1"/>
    <xf numFmtId="0" fontId="7" fillId="16" borderId="13" xfId="1" applyFont="1" applyFill="1" applyBorder="1" applyAlignment="1">
      <alignment horizontal="center"/>
    </xf>
    <xf numFmtId="0" fontId="7" fillId="16" borderId="13" xfId="1" applyFont="1" applyFill="1" applyBorder="1"/>
    <xf numFmtId="3" fontId="7" fillId="16" borderId="13" xfId="1" applyNumberFormat="1" applyFont="1" applyFill="1" applyBorder="1"/>
    <xf numFmtId="3" fontId="8" fillId="16" borderId="13" xfId="1" applyNumberFormat="1" applyFont="1" applyFill="1" applyBorder="1"/>
    <xf numFmtId="164" fontId="7" fillId="16" borderId="13" xfId="2" applyNumberFormat="1" applyFont="1" applyFill="1" applyBorder="1"/>
    <xf numFmtId="3" fontId="9" fillId="16" borderId="13" xfId="1" applyNumberFormat="1" applyFont="1" applyFill="1" applyBorder="1"/>
    <xf numFmtId="0" fontId="7" fillId="17" borderId="13" xfId="1" applyFont="1" applyFill="1" applyBorder="1" applyAlignment="1">
      <alignment horizontal="center"/>
    </xf>
    <xf numFmtId="0" fontId="7" fillId="17" borderId="13" xfId="1" applyFont="1" applyFill="1" applyBorder="1"/>
    <xf numFmtId="3" fontId="7" fillId="17" borderId="13" xfId="1" applyNumberFormat="1" applyFont="1" applyFill="1" applyBorder="1"/>
    <xf numFmtId="3" fontId="8" fillId="17" borderId="13" xfId="1" applyNumberFormat="1" applyFont="1" applyFill="1" applyBorder="1"/>
    <xf numFmtId="164" fontId="7" fillId="17" borderId="13" xfId="2" applyNumberFormat="1" applyFont="1" applyFill="1" applyBorder="1"/>
    <xf numFmtId="3" fontId="8" fillId="0" borderId="0" xfId="1" applyNumberFormat="1" applyFont="1"/>
    <xf numFmtId="3" fontId="8" fillId="16" borderId="0" xfId="1" applyNumberFormat="1" applyFont="1" applyFill="1"/>
    <xf numFmtId="3" fontId="8" fillId="17" borderId="0" xfId="1" applyNumberFormat="1" applyFont="1" applyFill="1"/>
    <xf numFmtId="10" fontId="7" fillId="0" borderId="0" xfId="1" applyNumberFormat="1" applyFont="1"/>
    <xf numFmtId="10" fontId="0" fillId="0" borderId="0" xfId="2" applyNumberFormat="1" applyFont="1"/>
    <xf numFmtId="10" fontId="7" fillId="0" borderId="0" xfId="2" applyNumberFormat="1" applyFont="1"/>
    <xf numFmtId="164" fontId="0" fillId="0" borderId="0" xfId="2" applyNumberFormat="1" applyFont="1"/>
    <xf numFmtId="0" fontId="8" fillId="0" borderId="0" xfId="1" applyFont="1"/>
    <xf numFmtId="0" fontId="7" fillId="0" borderId="0" xfId="1" applyFont="1"/>
    <xf numFmtId="0" fontId="4" fillId="0" borderId="0" xfId="0" applyFont="1" applyAlignment="1">
      <alignment horizontal="left"/>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vertical="center"/>
    </xf>
    <xf numFmtId="0" fontId="6" fillId="0" borderId="0" xfId="0" applyFont="1"/>
    <xf numFmtId="0" fontId="7" fillId="0" borderId="0" xfId="0" applyFont="1"/>
    <xf numFmtId="3" fontId="6" fillId="0" borderId="0" xfId="0" applyNumberFormat="1" applyFont="1"/>
    <xf numFmtId="0" fontId="7" fillId="0" borderId="13" xfId="0" applyFont="1" applyBorder="1" applyAlignment="1">
      <alignment horizontal="center" vertical="center" wrapText="1"/>
    </xf>
    <xf numFmtId="0" fontId="11" fillId="0" borderId="13" xfId="0" applyFont="1" applyBorder="1" applyAlignment="1">
      <alignment horizontal="center" vertical="center" wrapText="1"/>
    </xf>
    <xf numFmtId="10" fontId="6" fillId="0" borderId="0" xfId="3" applyNumberFormat="1" applyFont="1"/>
    <xf numFmtId="0" fontId="7" fillId="0" borderId="13" xfId="0" applyFont="1" applyBorder="1" applyAlignment="1">
      <alignment horizontal="center"/>
    </xf>
    <xf numFmtId="0" fontId="7" fillId="0" borderId="13" xfId="0" applyFont="1" applyBorder="1"/>
    <xf numFmtId="3" fontId="8" fillId="11" borderId="18" xfId="0" applyNumberFormat="1" applyFont="1" applyFill="1" applyBorder="1"/>
    <xf numFmtId="3" fontId="8" fillId="11" borderId="19" xfId="0" applyNumberFormat="1" applyFont="1" applyFill="1" applyBorder="1"/>
    <xf numFmtId="3" fontId="8" fillId="11" borderId="20" xfId="0" applyNumberFormat="1" applyFont="1" applyFill="1" applyBorder="1"/>
    <xf numFmtId="3" fontId="8" fillId="11" borderId="21" xfId="0" applyNumberFormat="1" applyFont="1" applyFill="1" applyBorder="1"/>
    <xf numFmtId="3" fontId="8" fillId="11" borderId="13" xfId="0" applyNumberFormat="1" applyFont="1" applyFill="1" applyBorder="1"/>
    <xf numFmtId="3" fontId="8" fillId="11" borderId="22" xfId="0" applyNumberFormat="1" applyFont="1" applyFill="1" applyBorder="1"/>
    <xf numFmtId="0" fontId="7" fillId="16" borderId="13" xfId="0" applyFont="1" applyFill="1" applyBorder="1" applyAlignment="1">
      <alignment horizontal="center"/>
    </xf>
    <xf numFmtId="0" fontId="7" fillId="16" borderId="13" xfId="0" applyFont="1" applyFill="1" applyBorder="1"/>
    <xf numFmtId="0" fontId="7" fillId="17" borderId="13" xfId="0" applyFont="1" applyFill="1" applyBorder="1" applyAlignment="1">
      <alignment horizontal="center"/>
    </xf>
    <xf numFmtId="0" fontId="7" fillId="17" borderId="13" xfId="0" applyFont="1" applyFill="1" applyBorder="1"/>
    <xf numFmtId="3" fontId="8" fillId="11" borderId="23" xfId="0" applyNumberFormat="1" applyFont="1" applyFill="1" applyBorder="1"/>
    <xf numFmtId="3" fontId="8" fillId="11" borderId="24" xfId="0" applyNumberFormat="1" applyFont="1" applyFill="1" applyBorder="1"/>
    <xf numFmtId="3" fontId="8" fillId="11" borderId="25" xfId="0" applyNumberFormat="1" applyFont="1" applyFill="1" applyBorder="1"/>
    <xf numFmtId="3" fontId="0" fillId="0" borderId="0" xfId="0" applyNumberFormat="1"/>
    <xf numFmtId="0" fontId="13" fillId="0" borderId="0" xfId="0" applyFont="1"/>
    <xf numFmtId="0" fontId="13" fillId="0" borderId="0" xfId="0" applyFont="1" applyAlignment="1">
      <alignment horizontal="center" vertical="center" wrapText="1"/>
    </xf>
    <xf numFmtId="3" fontId="13" fillId="0" borderId="0" xfId="0" applyNumberFormat="1" applyFont="1"/>
    <xf numFmtId="166" fontId="13" fillId="0" borderId="0" xfId="3" applyNumberFormat="1" applyFont="1"/>
    <xf numFmtId="167" fontId="13" fillId="0" borderId="0" xfId="3" applyNumberFormat="1" applyFont="1"/>
    <xf numFmtId="0" fontId="14" fillId="0" borderId="0" xfId="0" applyFont="1"/>
    <xf numFmtId="0" fontId="15" fillId="0" borderId="0" xfId="0" applyFont="1"/>
    <xf numFmtId="0" fontId="14" fillId="0" borderId="0" xfId="0" applyFont="1" applyAlignment="1">
      <alignment wrapText="1"/>
    </xf>
    <xf numFmtId="49" fontId="7" fillId="0" borderId="13" xfId="0" applyNumberFormat="1" applyFont="1" applyBorder="1" applyAlignment="1">
      <alignment horizontal="center"/>
    </xf>
    <xf numFmtId="3" fontId="7" fillId="0" borderId="13" xfId="0" applyNumberFormat="1" applyFont="1" applyBorder="1"/>
    <xf numFmtId="0" fontId="17" fillId="0" borderId="0" xfId="0" applyFont="1"/>
    <xf numFmtId="0" fontId="17" fillId="19" borderId="0" xfId="0" applyFont="1" applyFill="1"/>
    <xf numFmtId="168" fontId="17" fillId="19" borderId="0" xfId="0" applyNumberFormat="1" applyFont="1" applyFill="1"/>
    <xf numFmtId="0" fontId="7" fillId="19" borderId="13" xfId="0" applyFont="1" applyFill="1" applyBorder="1" applyAlignment="1">
      <alignment horizontal="center" vertical="center" wrapText="1"/>
    </xf>
    <xf numFmtId="1" fontId="17" fillId="19" borderId="13" xfId="0" applyNumberFormat="1" applyFont="1" applyFill="1" applyBorder="1"/>
    <xf numFmtId="0" fontId="17" fillId="20" borderId="0" xfId="0" applyFont="1" applyFill="1"/>
    <xf numFmtId="168" fontId="17" fillId="20" borderId="0" xfId="0" applyNumberFormat="1" applyFont="1" applyFill="1"/>
    <xf numFmtId="0" fontId="7" fillId="20" borderId="13" xfId="0" applyFont="1" applyFill="1" applyBorder="1" applyAlignment="1">
      <alignment horizontal="center" vertical="center" wrapText="1"/>
    </xf>
    <xf numFmtId="1" fontId="17" fillId="20" borderId="13" xfId="0" applyNumberFormat="1" applyFont="1" applyFill="1" applyBorder="1"/>
    <xf numFmtId="0" fontId="17" fillId="13" borderId="0" xfId="0" applyFont="1" applyFill="1"/>
    <xf numFmtId="168" fontId="17" fillId="13" borderId="0" xfId="0" applyNumberFormat="1" applyFont="1" applyFill="1"/>
    <xf numFmtId="0" fontId="7" fillId="13" borderId="13" xfId="0" applyFont="1" applyFill="1" applyBorder="1" applyAlignment="1">
      <alignment horizontal="center" vertical="center" wrapText="1"/>
    </xf>
    <xf numFmtId="1" fontId="17" fillId="13" borderId="13" xfId="0" applyNumberFormat="1" applyFont="1" applyFill="1" applyBorder="1"/>
    <xf numFmtId="0" fontId="17" fillId="21" borderId="0" xfId="0" applyFont="1" applyFill="1"/>
    <xf numFmtId="168" fontId="17" fillId="21" borderId="0" xfId="0" applyNumberFormat="1" applyFont="1" applyFill="1"/>
    <xf numFmtId="0" fontId="7" fillId="21" borderId="13" xfId="0" applyFont="1" applyFill="1" applyBorder="1" applyAlignment="1">
      <alignment horizontal="center" vertical="center" wrapText="1"/>
    </xf>
    <xf numFmtId="1" fontId="17" fillId="21" borderId="13" xfId="0" applyNumberFormat="1" applyFont="1" applyFill="1" applyBorder="1"/>
    <xf numFmtId="0" fontId="17" fillId="12" borderId="0" xfId="0" applyFont="1" applyFill="1"/>
    <xf numFmtId="168" fontId="17" fillId="12" borderId="0" xfId="0" applyNumberFormat="1" applyFont="1" applyFill="1"/>
    <xf numFmtId="0" fontId="7" fillId="12" borderId="13" xfId="0" applyFont="1" applyFill="1" applyBorder="1" applyAlignment="1">
      <alignment horizontal="center" vertical="center" wrapText="1"/>
    </xf>
    <xf numFmtId="1" fontId="17" fillId="12" borderId="13" xfId="0" applyNumberFormat="1" applyFont="1" applyFill="1" applyBorder="1"/>
    <xf numFmtId="0" fontId="17" fillId="22" borderId="0" xfId="0" applyFont="1" applyFill="1"/>
    <xf numFmtId="168" fontId="17" fillId="22" borderId="0" xfId="0" applyNumberFormat="1" applyFont="1" applyFill="1"/>
    <xf numFmtId="0" fontId="7" fillId="22" borderId="13" xfId="0" applyFont="1" applyFill="1" applyBorder="1" applyAlignment="1">
      <alignment horizontal="center" vertical="center" wrapText="1"/>
    </xf>
    <xf numFmtId="1" fontId="17" fillId="22" borderId="13" xfId="0" applyNumberFormat="1" applyFont="1" applyFill="1" applyBorder="1"/>
    <xf numFmtId="0" fontId="17" fillId="0" borderId="0" xfId="0" applyFont="1" applyAlignment="1">
      <alignment horizontal="left" wrapText="1"/>
    </xf>
    <xf numFmtId="0" fontId="14" fillId="13" borderId="26" xfId="0" applyFont="1" applyFill="1" applyBorder="1"/>
    <xf numFmtId="0" fontId="17" fillId="25" borderId="0" xfId="0" applyFont="1" applyFill="1"/>
    <xf numFmtId="0" fontId="17" fillId="26" borderId="0" xfId="0" applyFont="1" applyFill="1"/>
    <xf numFmtId="0" fontId="20" fillId="0" borderId="13" xfId="0" applyFont="1" applyBorder="1"/>
    <xf numFmtId="3" fontId="20" fillId="0" borderId="13" xfId="0" applyNumberFormat="1" applyFont="1" applyBorder="1"/>
    <xf numFmtId="4" fontId="20" fillId="0" borderId="13" xfId="0" applyNumberFormat="1" applyFont="1" applyBorder="1"/>
    <xf numFmtId="1" fontId="17" fillId="0" borderId="0" xfId="0" applyNumberFormat="1" applyFont="1"/>
    <xf numFmtId="0" fontId="0" fillId="24" borderId="0" xfId="0" applyFill="1"/>
    <xf numFmtId="0" fontId="18" fillId="0" borderId="26" xfId="0" applyFont="1" applyBorder="1"/>
    <xf numFmtId="0" fontId="21" fillId="0" borderId="0" xfId="0" applyFont="1"/>
    <xf numFmtId="0" fontId="22" fillId="27" borderId="0" xfId="0" applyFont="1" applyFill="1" applyAlignment="1">
      <alignment horizontal="left" vertical="center"/>
    </xf>
    <xf numFmtId="0" fontId="22" fillId="27" borderId="0" xfId="0" applyFont="1" applyFill="1" applyAlignment="1">
      <alignment horizontal="right" vertical="center"/>
    </xf>
    <xf numFmtId="0" fontId="22" fillId="27" borderId="0" xfId="0" applyFont="1" applyFill="1" applyAlignment="1">
      <alignment horizontal="right" vertical="center" wrapText="1"/>
    </xf>
    <xf numFmtId="0" fontId="23" fillId="3" borderId="0" xfId="0" applyFont="1" applyFill="1" applyAlignment="1">
      <alignment horizontal="left" vertical="center"/>
    </xf>
    <xf numFmtId="0" fontId="23" fillId="3" borderId="0" xfId="0" applyFont="1" applyFill="1" applyAlignment="1">
      <alignment horizontal="right" vertical="center"/>
    </xf>
    <xf numFmtId="0" fontId="23" fillId="3" borderId="0" xfId="0" applyFont="1" applyFill="1" applyAlignment="1">
      <alignment horizontal="right" vertical="center" wrapText="1"/>
    </xf>
    <xf numFmtId="0" fontId="23" fillId="28" borderId="0" xfId="0" applyFont="1" applyFill="1" applyAlignment="1">
      <alignment horizontal="left" vertical="center"/>
    </xf>
    <xf numFmtId="0" fontId="23" fillId="28" borderId="0" xfId="0" applyFont="1" applyFill="1" applyAlignment="1">
      <alignment horizontal="right" vertical="center"/>
    </xf>
    <xf numFmtId="0" fontId="23" fillId="28" borderId="0" xfId="0" applyFont="1" applyFill="1" applyAlignment="1">
      <alignment horizontal="right" vertical="center" wrapText="1"/>
    </xf>
    <xf numFmtId="0" fontId="22" fillId="3" borderId="0" xfId="0" applyFont="1" applyFill="1" applyAlignment="1">
      <alignment horizontal="left" vertical="center"/>
    </xf>
    <xf numFmtId="0" fontId="22" fillId="3" borderId="0" xfId="0" applyFont="1" applyFill="1" applyAlignment="1">
      <alignment horizontal="right" vertical="center"/>
    </xf>
    <xf numFmtId="0" fontId="22" fillId="3" borderId="0" xfId="0" applyFont="1" applyFill="1" applyAlignment="1">
      <alignment horizontal="right" vertical="center" wrapText="1"/>
    </xf>
    <xf numFmtId="0" fontId="24" fillId="29" borderId="0" xfId="0" applyFont="1" applyFill="1" applyAlignment="1">
      <alignment wrapText="1"/>
    </xf>
    <xf numFmtId="0" fontId="14" fillId="0" borderId="0" xfId="0" applyFont="1" applyAlignment="1">
      <alignment horizontal="center"/>
    </xf>
    <xf numFmtId="164" fontId="20" fillId="0" borderId="13" xfId="3" applyNumberFormat="1" applyFont="1" applyBorder="1" applyAlignment="1">
      <alignment horizontal="center"/>
    </xf>
    <xf numFmtId="3" fontId="8" fillId="0" borderId="13" xfId="0" applyNumberFormat="1" applyFont="1" applyBorder="1"/>
    <xf numFmtId="0" fontId="7" fillId="0" borderId="27" xfId="0" applyFont="1" applyBorder="1"/>
    <xf numFmtId="0" fontId="17" fillId="29" borderId="13" xfId="0" applyFont="1" applyFill="1" applyBorder="1" applyAlignment="1">
      <alignment horizontal="center"/>
    </xf>
    <xf numFmtId="0" fontId="25" fillId="30" borderId="26" xfId="0" applyFont="1" applyFill="1" applyBorder="1" applyAlignment="1">
      <alignment vertical="center"/>
    </xf>
    <xf numFmtId="0" fontId="2" fillId="30" borderId="28" xfId="0" applyFont="1" applyFill="1" applyBorder="1" applyAlignment="1">
      <alignment horizontal="center" vertical="center"/>
    </xf>
    <xf numFmtId="0" fontId="2" fillId="30" borderId="29" xfId="0" applyFont="1" applyFill="1" applyBorder="1" applyAlignment="1">
      <alignment vertical="center"/>
    </xf>
    <xf numFmtId="0" fontId="25" fillId="0" borderId="30" xfId="0" applyFont="1" applyBorder="1" applyAlignment="1">
      <alignment horizontal="center" vertical="center"/>
    </xf>
    <xf numFmtId="0" fontId="2" fillId="31" borderId="30" xfId="0" applyFont="1" applyFill="1" applyBorder="1" applyAlignment="1">
      <alignment horizontal="center" vertical="center"/>
    </xf>
    <xf numFmtId="0" fontId="2" fillId="32" borderId="30" xfId="0" applyFont="1" applyFill="1" applyBorder="1" applyAlignment="1">
      <alignment horizontal="center" vertical="center"/>
    </xf>
    <xf numFmtId="0" fontId="2" fillId="33" borderId="30" xfId="0" applyFont="1" applyFill="1" applyBorder="1" applyAlignment="1">
      <alignment horizontal="center" vertical="center"/>
    </xf>
    <xf numFmtId="0" fontId="2" fillId="34" borderId="30" xfId="0" applyFont="1" applyFill="1" applyBorder="1" applyAlignment="1">
      <alignment horizontal="center" vertical="center"/>
    </xf>
    <xf numFmtId="0" fontId="2" fillId="35" borderId="30" xfId="0" applyFont="1" applyFill="1" applyBorder="1" applyAlignment="1">
      <alignment horizontal="center" vertical="center"/>
    </xf>
    <xf numFmtId="0" fontId="2" fillId="36" borderId="30" xfId="0" applyFont="1" applyFill="1" applyBorder="1" applyAlignment="1">
      <alignment horizontal="center" vertical="center"/>
    </xf>
    <xf numFmtId="0" fontId="2" fillId="37" borderId="30" xfId="0" applyFont="1" applyFill="1" applyBorder="1" applyAlignment="1">
      <alignment horizontal="center" vertical="center"/>
    </xf>
    <xf numFmtId="0" fontId="2" fillId="38" borderId="30" xfId="0" applyFont="1" applyFill="1" applyBorder="1" applyAlignment="1">
      <alignment horizontal="center" vertical="center"/>
    </xf>
    <xf numFmtId="0" fontId="2" fillId="39" borderId="30" xfId="0" applyFont="1" applyFill="1" applyBorder="1" applyAlignment="1">
      <alignment horizontal="center" vertical="center"/>
    </xf>
    <xf numFmtId="0" fontId="2" fillId="40" borderId="30" xfId="0" applyFont="1" applyFill="1" applyBorder="1" applyAlignment="1">
      <alignment horizontal="center" vertical="center"/>
    </xf>
    <xf numFmtId="0" fontId="2" fillId="41" borderId="30" xfId="0" applyFont="1" applyFill="1" applyBorder="1" applyAlignment="1">
      <alignment horizontal="center" vertical="center"/>
    </xf>
    <xf numFmtId="0" fontId="2" fillId="42" borderId="30" xfId="0" applyFont="1" applyFill="1" applyBorder="1" applyAlignment="1">
      <alignment horizontal="center" vertical="center"/>
    </xf>
    <xf numFmtId="0" fontId="2" fillId="43" borderId="30" xfId="0" applyFont="1" applyFill="1" applyBorder="1" applyAlignment="1">
      <alignment horizontal="center" vertical="center"/>
    </xf>
    <xf numFmtId="0" fontId="2" fillId="44" borderId="30" xfId="0" applyFont="1" applyFill="1" applyBorder="1" applyAlignment="1">
      <alignment horizontal="center" vertical="center"/>
    </xf>
    <xf numFmtId="0" fontId="2" fillId="45" borderId="30" xfId="0" applyFont="1" applyFill="1" applyBorder="1" applyAlignment="1">
      <alignment horizontal="center" vertical="center"/>
    </xf>
    <xf numFmtId="0" fontId="2" fillId="46" borderId="30" xfId="0" applyFont="1" applyFill="1" applyBorder="1" applyAlignment="1">
      <alignment horizontal="center" vertical="center"/>
    </xf>
    <xf numFmtId="0" fontId="2" fillId="47" borderId="30" xfId="0" applyFont="1" applyFill="1" applyBorder="1" applyAlignment="1">
      <alignment horizontal="center" vertical="center"/>
    </xf>
    <xf numFmtId="0" fontId="2" fillId="48" borderId="30" xfId="0" applyFont="1" applyFill="1" applyBorder="1" applyAlignment="1">
      <alignment horizontal="center" vertical="center"/>
    </xf>
    <xf numFmtId="0" fontId="2" fillId="49" borderId="30" xfId="0" applyFont="1" applyFill="1" applyBorder="1" applyAlignment="1">
      <alignment horizontal="center" vertical="center"/>
    </xf>
    <xf numFmtId="0" fontId="2" fillId="50" borderId="30" xfId="0" applyFont="1" applyFill="1" applyBorder="1" applyAlignment="1">
      <alignment horizontal="center" vertical="center"/>
    </xf>
    <xf numFmtId="0" fontId="2" fillId="51" borderId="30" xfId="0" applyFont="1" applyFill="1" applyBorder="1" applyAlignment="1">
      <alignment horizontal="center" vertical="center"/>
    </xf>
    <xf numFmtId="0" fontId="2" fillId="52" borderId="30" xfId="0" applyFont="1" applyFill="1" applyBorder="1" applyAlignment="1">
      <alignment horizontal="center" vertical="center"/>
    </xf>
    <xf numFmtId="0" fontId="2" fillId="53" borderId="30" xfId="0" applyFont="1" applyFill="1" applyBorder="1" applyAlignment="1">
      <alignment horizontal="center" vertical="center"/>
    </xf>
    <xf numFmtId="0" fontId="2" fillId="54" borderId="30" xfId="0" applyFont="1" applyFill="1" applyBorder="1" applyAlignment="1">
      <alignment horizontal="center" vertical="center"/>
    </xf>
    <xf numFmtId="0" fontId="2" fillId="55" borderId="30" xfId="0" applyFont="1" applyFill="1" applyBorder="1" applyAlignment="1">
      <alignment horizontal="center" vertical="center"/>
    </xf>
    <xf numFmtId="0" fontId="2" fillId="56" borderId="30" xfId="0" applyFont="1" applyFill="1" applyBorder="1" applyAlignment="1">
      <alignment horizontal="center" vertical="center"/>
    </xf>
    <xf numFmtId="0" fontId="2" fillId="57" borderId="30" xfId="0" applyFont="1" applyFill="1" applyBorder="1" applyAlignment="1">
      <alignment horizontal="center" vertical="center"/>
    </xf>
    <xf numFmtId="0" fontId="2" fillId="58" borderId="30" xfId="0" applyFont="1" applyFill="1" applyBorder="1" applyAlignment="1">
      <alignment horizontal="center" vertical="center"/>
    </xf>
    <xf numFmtId="0" fontId="2" fillId="59" borderId="30" xfId="0" applyFont="1" applyFill="1" applyBorder="1" applyAlignment="1">
      <alignment horizontal="center" vertical="center"/>
    </xf>
    <xf numFmtId="0" fontId="2" fillId="60" borderId="30" xfId="0" applyFont="1" applyFill="1" applyBorder="1" applyAlignment="1">
      <alignment horizontal="center" vertical="center"/>
    </xf>
    <xf numFmtId="0" fontId="2" fillId="61" borderId="30" xfId="0" applyFont="1" applyFill="1" applyBorder="1" applyAlignment="1">
      <alignment horizontal="center" vertical="center"/>
    </xf>
    <xf numFmtId="0" fontId="2" fillId="62" borderId="30" xfId="0" applyFont="1" applyFill="1" applyBorder="1" applyAlignment="1">
      <alignment horizontal="center" vertical="center"/>
    </xf>
    <xf numFmtId="0" fontId="2" fillId="63" borderId="30" xfId="0" applyFont="1" applyFill="1" applyBorder="1" applyAlignment="1">
      <alignment horizontal="center" vertical="center"/>
    </xf>
    <xf numFmtId="0" fontId="2" fillId="64" borderId="30" xfId="0" applyFont="1" applyFill="1" applyBorder="1" applyAlignment="1">
      <alignment horizontal="center" vertical="center"/>
    </xf>
    <xf numFmtId="0" fontId="2" fillId="65" borderId="30" xfId="0" applyFont="1" applyFill="1" applyBorder="1" applyAlignment="1">
      <alignment horizontal="center" vertical="center"/>
    </xf>
    <xf numFmtId="0" fontId="2" fillId="66" borderId="30" xfId="0" applyFont="1" applyFill="1" applyBorder="1" applyAlignment="1">
      <alignment horizontal="center" vertical="center"/>
    </xf>
    <xf numFmtId="0" fontId="2" fillId="67" borderId="30" xfId="0" applyFont="1" applyFill="1" applyBorder="1" applyAlignment="1">
      <alignment horizontal="center" vertical="center"/>
    </xf>
    <xf numFmtId="0" fontId="2" fillId="68" borderId="30" xfId="0" applyFont="1" applyFill="1" applyBorder="1" applyAlignment="1">
      <alignment horizontal="center" vertical="center"/>
    </xf>
    <xf numFmtId="0" fontId="2" fillId="69" borderId="30" xfId="0" applyFont="1" applyFill="1" applyBorder="1" applyAlignment="1">
      <alignment horizontal="center" vertical="center"/>
    </xf>
    <xf numFmtId="0" fontId="17" fillId="0" borderId="0" xfId="0" applyFont="1" applyAlignment="1">
      <alignment horizontal="center"/>
    </xf>
    <xf numFmtId="0" fontId="17" fillId="29" borderId="13" xfId="0" applyFont="1" applyFill="1" applyBorder="1" applyAlignment="1">
      <alignment horizontal="center" wrapText="1"/>
    </xf>
    <xf numFmtId="0" fontId="17" fillId="29" borderId="14" xfId="0" applyFont="1" applyFill="1" applyBorder="1" applyAlignment="1">
      <alignment horizontal="center"/>
    </xf>
    <xf numFmtId="0" fontId="14" fillId="14" borderId="0" xfId="0" applyFont="1" applyFill="1" applyAlignment="1">
      <alignment wrapText="1"/>
    </xf>
    <xf numFmtId="0" fontId="26" fillId="29" borderId="31" xfId="0" applyFont="1" applyFill="1" applyBorder="1" applyAlignment="1">
      <alignment horizontal="center"/>
    </xf>
    <xf numFmtId="0" fontId="14" fillId="14" borderId="15" xfId="0" applyFont="1" applyFill="1" applyBorder="1" applyAlignment="1">
      <alignment horizontal="right"/>
    </xf>
    <xf numFmtId="0" fontId="20" fillId="14" borderId="13" xfId="0" applyFont="1" applyFill="1" applyBorder="1"/>
    <xf numFmtId="169" fontId="14" fillId="29" borderId="32" xfId="0" applyNumberFormat="1" applyFont="1" applyFill="1" applyBorder="1"/>
    <xf numFmtId="169" fontId="14" fillId="0" borderId="0" xfId="0" applyNumberFormat="1" applyFont="1"/>
    <xf numFmtId="4" fontId="14" fillId="29" borderId="26" xfId="0" applyNumberFormat="1" applyFont="1" applyFill="1" applyBorder="1"/>
    <xf numFmtId="4" fontId="14" fillId="19" borderId="14" xfId="0" applyNumberFormat="1" applyFont="1" applyFill="1" applyBorder="1"/>
    <xf numFmtId="4" fontId="14" fillId="19" borderId="13" xfId="0" applyNumberFormat="1" applyFont="1" applyFill="1" applyBorder="1"/>
    <xf numFmtId="0" fontId="17" fillId="14" borderId="13" xfId="0" applyFont="1" applyFill="1" applyBorder="1" applyAlignment="1">
      <alignment horizontal="center"/>
    </xf>
    <xf numFmtId="4" fontId="14" fillId="0" borderId="14" xfId="0" applyNumberFormat="1" applyFont="1" applyBorder="1"/>
    <xf numFmtId="4" fontId="14" fillId="0" borderId="13" xfId="0" applyNumberFormat="1" applyFont="1" applyBorder="1"/>
    <xf numFmtId="0" fontId="2" fillId="70" borderId="30" xfId="0" applyFont="1" applyFill="1" applyBorder="1" applyAlignment="1">
      <alignment horizontal="center" vertical="center"/>
    </xf>
    <xf numFmtId="0" fontId="2" fillId="71" borderId="30" xfId="0" applyFont="1" applyFill="1" applyBorder="1" applyAlignment="1">
      <alignment horizontal="center" vertical="center"/>
    </xf>
    <xf numFmtId="0" fontId="2" fillId="72" borderId="30" xfId="0" applyFont="1" applyFill="1" applyBorder="1" applyAlignment="1">
      <alignment horizontal="center" vertical="center"/>
    </xf>
    <xf numFmtId="0" fontId="2" fillId="73" borderId="30" xfId="0" applyFont="1" applyFill="1" applyBorder="1" applyAlignment="1">
      <alignment horizontal="center" vertical="center"/>
    </xf>
    <xf numFmtId="0" fontId="2" fillId="74" borderId="30" xfId="0" applyFont="1" applyFill="1" applyBorder="1" applyAlignment="1">
      <alignment horizontal="center" vertical="center"/>
    </xf>
    <xf numFmtId="0" fontId="2" fillId="75" borderId="30" xfId="0" applyFont="1" applyFill="1" applyBorder="1" applyAlignment="1">
      <alignment horizontal="center" vertical="center"/>
    </xf>
    <xf numFmtId="0" fontId="2" fillId="76" borderId="30" xfId="0" applyFont="1" applyFill="1" applyBorder="1" applyAlignment="1">
      <alignment horizontal="center" vertical="center"/>
    </xf>
    <xf numFmtId="0" fontId="2" fillId="77" borderId="30" xfId="0" applyFont="1" applyFill="1" applyBorder="1" applyAlignment="1">
      <alignment horizontal="center" vertical="center"/>
    </xf>
    <xf numFmtId="0" fontId="2" fillId="78" borderId="30" xfId="0" applyFont="1" applyFill="1" applyBorder="1" applyAlignment="1">
      <alignment horizontal="center" vertical="center"/>
    </xf>
    <xf numFmtId="0" fontId="2" fillId="79" borderId="30" xfId="0" applyFont="1" applyFill="1" applyBorder="1" applyAlignment="1">
      <alignment horizontal="center" vertical="center"/>
    </xf>
    <xf numFmtId="0" fontId="27" fillId="30" borderId="26" xfId="0" applyFont="1" applyFill="1" applyBorder="1" applyAlignment="1">
      <alignment vertical="center"/>
    </xf>
    <xf numFmtId="0" fontId="28" fillId="30" borderId="29" xfId="0" applyFont="1" applyFill="1" applyBorder="1" applyAlignment="1">
      <alignment vertical="center"/>
    </xf>
    <xf numFmtId="3" fontId="14" fillId="29" borderId="26" xfId="0" applyNumberFormat="1" applyFont="1" applyFill="1" applyBorder="1"/>
    <xf numFmtId="0" fontId="20" fillId="0" borderId="0" xfId="0" applyFont="1"/>
    <xf numFmtId="0" fontId="20" fillId="14" borderId="0" xfId="0" applyFont="1" applyFill="1" applyAlignment="1">
      <alignment wrapText="1"/>
    </xf>
    <xf numFmtId="0" fontId="20" fillId="0" borderId="0" xfId="0" applyFont="1" applyAlignment="1">
      <alignment horizontal="center"/>
    </xf>
    <xf numFmtId="0" fontId="20" fillId="0" borderId="0" xfId="0" applyFont="1" applyAlignment="1">
      <alignment wrapText="1"/>
    </xf>
    <xf numFmtId="0" fontId="20" fillId="14" borderId="0" xfId="0" applyFont="1" applyFill="1" applyAlignment="1">
      <alignment horizontal="right" wrapText="1"/>
    </xf>
    <xf numFmtId="10" fontId="20" fillId="24" borderId="26" xfId="0" applyNumberFormat="1" applyFont="1" applyFill="1" applyBorder="1" applyProtection="1">
      <protection locked="0"/>
    </xf>
    <xf numFmtId="10" fontId="20" fillId="0" borderId="0" xfId="0" applyNumberFormat="1" applyFont="1"/>
    <xf numFmtId="0" fontId="20" fillId="0" borderId="0" xfId="0" applyFont="1" applyAlignment="1">
      <alignment horizontal="right" wrapText="1"/>
    </xf>
    <xf numFmtId="0" fontId="20" fillId="24" borderId="26" xfId="0" applyFont="1" applyFill="1" applyBorder="1" applyAlignment="1" applyProtection="1">
      <alignment horizontal="center" vertical="center"/>
      <protection locked="0"/>
    </xf>
    <xf numFmtId="0" fontId="20" fillId="0" borderId="0" xfId="0" applyFont="1" applyAlignment="1">
      <alignment horizontal="center" vertical="center"/>
    </xf>
    <xf numFmtId="164" fontId="20" fillId="24" borderId="26" xfId="0" applyNumberFormat="1" applyFont="1" applyFill="1" applyBorder="1" applyAlignment="1" applyProtection="1">
      <alignment horizontal="center" vertical="center"/>
      <protection locked="0"/>
    </xf>
    <xf numFmtId="0" fontId="20" fillId="0" borderId="0" xfId="0" applyFont="1" applyAlignment="1">
      <alignment vertical="center"/>
    </xf>
    <xf numFmtId="10" fontId="20" fillId="24" borderId="26" xfId="0" applyNumberFormat="1" applyFont="1" applyFill="1" applyBorder="1" applyAlignment="1" applyProtection="1">
      <alignment horizontal="center" vertical="center"/>
      <protection locked="0"/>
    </xf>
    <xf numFmtId="0" fontId="31" fillId="29" borderId="0" xfId="0" applyFont="1" applyFill="1" applyAlignment="1">
      <alignment wrapText="1"/>
    </xf>
    <xf numFmtId="0" fontId="31" fillId="29" borderId="31" xfId="0" applyFont="1" applyFill="1" applyBorder="1" applyAlignment="1">
      <alignment horizontal="center"/>
    </xf>
    <xf numFmtId="0" fontId="20" fillId="29" borderId="14" xfId="0" applyFont="1" applyFill="1" applyBorder="1" applyAlignment="1">
      <alignment horizontal="center"/>
    </xf>
    <xf numFmtId="0" fontId="20" fillId="29" borderId="13" xfId="0" applyFont="1" applyFill="1" applyBorder="1" applyAlignment="1">
      <alignment horizontal="center" wrapText="1"/>
    </xf>
    <xf numFmtId="0" fontId="20" fillId="29" borderId="13" xfId="0" applyFont="1" applyFill="1" applyBorder="1" applyAlignment="1">
      <alignment horizontal="center"/>
    </xf>
    <xf numFmtId="0" fontId="20" fillId="14" borderId="15" xfId="0" applyFont="1" applyFill="1" applyBorder="1" applyAlignment="1">
      <alignment horizontal="right"/>
    </xf>
    <xf numFmtId="4" fontId="20" fillId="29" borderId="26" xfId="0" applyNumberFormat="1" applyFont="1" applyFill="1" applyBorder="1"/>
    <xf numFmtId="4" fontId="20" fillId="0" borderId="14" xfId="0" applyNumberFormat="1" applyFont="1" applyBorder="1"/>
    <xf numFmtId="3" fontId="20" fillId="29" borderId="26" xfId="0" applyNumberFormat="1" applyFont="1" applyFill="1" applyBorder="1"/>
    <xf numFmtId="169" fontId="20" fillId="0" borderId="0" xfId="0" applyNumberFormat="1" applyFont="1"/>
    <xf numFmtId="170" fontId="20" fillId="19" borderId="14" xfId="0" applyNumberFormat="1" applyFont="1" applyFill="1" applyBorder="1"/>
    <xf numFmtId="170" fontId="20" fillId="19" borderId="13" xfId="0" applyNumberFormat="1" applyFont="1" applyFill="1" applyBorder="1"/>
    <xf numFmtId="0" fontId="32" fillId="0" borderId="0" xfId="0" applyFont="1"/>
    <xf numFmtId="2" fontId="20" fillId="29" borderId="32" xfId="0" applyNumberFormat="1" applyFont="1" applyFill="1" applyBorder="1"/>
    <xf numFmtId="170" fontId="20" fillId="29" borderId="26" xfId="0" applyNumberFormat="1" applyFont="1" applyFill="1" applyBorder="1"/>
    <xf numFmtId="3" fontId="20" fillId="19" borderId="14" xfId="0" applyNumberFormat="1" applyFont="1" applyFill="1" applyBorder="1"/>
    <xf numFmtId="3" fontId="20" fillId="19" borderId="13" xfId="0" applyNumberFormat="1" applyFont="1" applyFill="1" applyBorder="1"/>
    <xf numFmtId="0" fontId="4" fillId="20" borderId="0" xfId="0" applyFont="1" applyFill="1"/>
    <xf numFmtId="0" fontId="4" fillId="20" borderId="0" xfId="0" applyFont="1" applyFill="1" applyAlignment="1">
      <alignment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18" borderId="0" xfId="0" applyFill="1" applyAlignment="1">
      <alignment horizontal="center"/>
    </xf>
    <xf numFmtId="0" fontId="0" fillId="0" borderId="0" xfId="0" applyAlignment="1">
      <alignment horizontal="center" vertical="center" textRotation="90"/>
    </xf>
    <xf numFmtId="0" fontId="8" fillId="0" borderId="15" xfId="1" applyFont="1" applyBorder="1" applyAlignment="1">
      <alignment horizontal="left"/>
    </xf>
    <xf numFmtId="0" fontId="8" fillId="0" borderId="16" xfId="1" applyFont="1" applyBorder="1" applyAlignment="1">
      <alignment horizontal="left"/>
    </xf>
    <xf numFmtId="0" fontId="8" fillId="0" borderId="14" xfId="1" applyFont="1" applyBorder="1" applyAlignment="1">
      <alignment horizontal="left"/>
    </xf>
    <xf numFmtId="0" fontId="19" fillId="23" borderId="17" xfId="0" applyFont="1" applyFill="1" applyBorder="1" applyAlignment="1">
      <alignment horizontal="left" wrapText="1"/>
    </xf>
    <xf numFmtId="0" fontId="20" fillId="14" borderId="0" xfId="0" applyFont="1" applyFill="1" applyAlignment="1">
      <alignment horizontal="left" vertical="top" wrapText="1"/>
    </xf>
    <xf numFmtId="0" fontId="30" fillId="0" borderId="0" xfId="0" applyFont="1" applyAlignment="1">
      <alignment horizontal="center" vertical="top" wrapText="1"/>
    </xf>
    <xf numFmtId="0" fontId="30" fillId="23" borderId="0" xfId="0" applyFont="1" applyFill="1" applyAlignment="1">
      <alignment horizontal="left" wrapText="1"/>
    </xf>
    <xf numFmtId="0" fontId="29" fillId="0" borderId="0" xfId="0" applyFont="1" applyAlignment="1">
      <alignment horizontal="left" vertical="top" wrapText="1"/>
    </xf>
    <xf numFmtId="0" fontId="21" fillId="0" borderId="0" xfId="0" applyFont="1" applyAlignment="1">
      <alignment horizontal="left" vertical="top" wrapText="1"/>
    </xf>
    <xf numFmtId="0" fontId="23" fillId="3" borderId="0" xfId="0" applyFont="1" applyFill="1" applyAlignment="1">
      <alignment horizontal="right" vertical="center" wrapText="1"/>
    </xf>
    <xf numFmtId="0" fontId="17" fillId="13" borderId="0" xfId="0" applyFont="1" applyFill="1" applyAlignment="1">
      <alignment horizontal="left" wrapText="1"/>
    </xf>
  </cellXfs>
  <cellStyles count="5">
    <cellStyle name="Normal" xfId="0" builtinId="0"/>
    <cellStyle name="Normal 2" xfId="1" xr:uid="{041E7E35-13A5-4B35-9CEA-825D4A2C1F77}"/>
    <cellStyle name="Normal 2 2" xfId="4" xr:uid="{1C0F8962-E929-4485-9CB2-8CE339B3FE65}"/>
    <cellStyle name="Porcentaje" xfId="3" builtinId="5"/>
    <cellStyle name="Porcentaje 2" xfId="2" xr:uid="{C98A1569-FFA3-4231-B010-108DC17AAA50}"/>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1566333</xdr:colOff>
      <xdr:row>1</xdr:row>
      <xdr:rowOff>28719</xdr:rowOff>
    </xdr:from>
    <xdr:to>
      <xdr:col>4</xdr:col>
      <xdr:colOff>2797442</xdr:colOff>
      <xdr:row>1</xdr:row>
      <xdr:rowOff>396725</xdr:rowOff>
    </xdr:to>
    <xdr:pic>
      <xdr:nvPicPr>
        <xdr:cNvPr id="3" name="Imagen 2" descr="ATM | web oficial de l&amp;#39;Autoritat del Transport Metropolità">
          <a:extLst>
            <a:ext uri="{FF2B5EF4-FFF2-40B4-BE49-F238E27FC236}">
              <a16:creationId xmlns:a16="http://schemas.microsoft.com/office/drawing/2014/main" id="{1B8AA0AE-F368-4563-879F-D8F2A12A6A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4166" y="282719"/>
          <a:ext cx="1225394" cy="375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6216</xdr:colOff>
      <xdr:row>0</xdr:row>
      <xdr:rowOff>193521</xdr:rowOff>
    </xdr:from>
    <xdr:to>
      <xdr:col>5</xdr:col>
      <xdr:colOff>1087123</xdr:colOff>
      <xdr:row>1</xdr:row>
      <xdr:rowOff>403258</xdr:rowOff>
    </xdr:to>
    <xdr:pic>
      <xdr:nvPicPr>
        <xdr:cNvPr id="6" name="Imagen 5">
          <a:extLst>
            <a:ext uri="{FF2B5EF4-FFF2-40B4-BE49-F238E27FC236}">
              <a16:creationId xmlns:a16="http://schemas.microsoft.com/office/drawing/2014/main" id="{280B74F6-A9EB-4527-820D-A95DA43F1E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70827" y="193521"/>
          <a:ext cx="1073287" cy="456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2321278</xdr:colOff>
      <xdr:row>10</xdr:row>
      <xdr:rowOff>268111</xdr:rowOff>
    </xdr:from>
    <xdr:to>
      <xdr:col>3</xdr:col>
      <xdr:colOff>3464278</xdr:colOff>
      <xdr:row>10</xdr:row>
      <xdr:rowOff>846667</xdr:rowOff>
    </xdr:to>
    <xdr:cxnSp macro="">
      <xdr:nvCxnSpPr>
        <xdr:cNvPr id="8" name="Conector: angular 7">
          <a:extLst>
            <a:ext uri="{FF2B5EF4-FFF2-40B4-BE49-F238E27FC236}">
              <a16:creationId xmlns:a16="http://schemas.microsoft.com/office/drawing/2014/main" id="{59B6BDF7-1C3D-4CFB-B06A-0E6130AC1584}"/>
            </a:ext>
          </a:extLst>
        </xdr:cNvPr>
        <xdr:cNvCxnSpPr/>
      </xdr:nvCxnSpPr>
      <xdr:spPr>
        <a:xfrm>
          <a:off x="2321278" y="4642555"/>
          <a:ext cx="1143000" cy="578556"/>
        </a:xfrm>
        <a:prstGeom prst="bentConnector3">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17638</xdr:colOff>
      <xdr:row>5</xdr:row>
      <xdr:rowOff>99311</xdr:rowOff>
    </xdr:from>
    <xdr:to>
      <xdr:col>6</xdr:col>
      <xdr:colOff>13247</xdr:colOff>
      <xdr:row>16</xdr:row>
      <xdr:rowOff>57889</xdr:rowOff>
    </xdr:to>
    <xdr:pic>
      <xdr:nvPicPr>
        <xdr:cNvPr id="15" name="Imagen 14">
          <a:extLst>
            <a:ext uri="{FF2B5EF4-FFF2-40B4-BE49-F238E27FC236}">
              <a16:creationId xmlns:a16="http://schemas.microsoft.com/office/drawing/2014/main" id="{CBCB6C69-2912-491A-A684-2E96BB3A5B38}"/>
            </a:ext>
          </a:extLst>
        </xdr:cNvPr>
        <xdr:cNvPicPr>
          <a:picLocks noChangeAspect="1"/>
        </xdr:cNvPicPr>
      </xdr:nvPicPr>
      <xdr:blipFill>
        <a:blip xmlns:r="http://schemas.openxmlformats.org/officeDocument/2006/relationships" r:embed="rId3"/>
        <a:stretch>
          <a:fillRect/>
        </a:stretch>
      </xdr:blipFill>
      <xdr:spPr>
        <a:xfrm>
          <a:off x="7875763" y="1694749"/>
          <a:ext cx="5182924" cy="1538459"/>
        </a:xfrm>
        <a:prstGeom prst="rect">
          <a:avLst/>
        </a:prstGeom>
      </xdr:spPr>
    </xdr:pic>
    <xdr:clientData/>
  </xdr:twoCellAnchor>
  <xdr:twoCellAnchor>
    <xdr:from>
      <xdr:col>1</xdr:col>
      <xdr:colOff>14111</xdr:colOff>
      <xdr:row>9</xdr:row>
      <xdr:rowOff>84671</xdr:rowOff>
    </xdr:from>
    <xdr:to>
      <xdr:col>3</xdr:col>
      <xdr:colOff>14111</xdr:colOff>
      <xdr:row>10</xdr:row>
      <xdr:rowOff>105838</xdr:rowOff>
    </xdr:to>
    <xdr:cxnSp macro="">
      <xdr:nvCxnSpPr>
        <xdr:cNvPr id="19" name="Conector: angular 18">
          <a:extLst>
            <a:ext uri="{FF2B5EF4-FFF2-40B4-BE49-F238E27FC236}">
              <a16:creationId xmlns:a16="http://schemas.microsoft.com/office/drawing/2014/main" id="{50AE660B-99BF-4D31-B796-1ABC944F5A8D}"/>
            </a:ext>
          </a:extLst>
        </xdr:cNvPr>
        <xdr:cNvCxnSpPr/>
      </xdr:nvCxnSpPr>
      <xdr:spPr>
        <a:xfrm>
          <a:off x="4176889" y="2356560"/>
          <a:ext cx="2159000" cy="197556"/>
        </a:xfrm>
        <a:prstGeom prst="bentConnector3">
          <a:avLst>
            <a:gd name="adj1" fmla="val 68954"/>
          </a:avLst>
        </a:prstGeom>
        <a:ln>
          <a:solidFill>
            <a:srgbClr val="006666"/>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9701</xdr:colOff>
      <xdr:row>12</xdr:row>
      <xdr:rowOff>102310</xdr:rowOff>
    </xdr:from>
    <xdr:to>
      <xdr:col>3</xdr:col>
      <xdr:colOff>23813</xdr:colOff>
      <xdr:row>16</xdr:row>
      <xdr:rowOff>238125</xdr:rowOff>
    </xdr:to>
    <xdr:cxnSp macro="">
      <xdr:nvCxnSpPr>
        <xdr:cNvPr id="7" name="Conector: angular 6">
          <a:extLst>
            <a:ext uri="{FF2B5EF4-FFF2-40B4-BE49-F238E27FC236}">
              <a16:creationId xmlns:a16="http://schemas.microsoft.com/office/drawing/2014/main" id="{ECD84BBF-97E0-42CF-A5F1-9AD5F553007A}"/>
            </a:ext>
          </a:extLst>
        </xdr:cNvPr>
        <xdr:cNvCxnSpPr/>
      </xdr:nvCxnSpPr>
      <xdr:spPr>
        <a:xfrm>
          <a:off x="6970889" y="2697873"/>
          <a:ext cx="911049" cy="723190"/>
        </a:xfrm>
        <a:prstGeom prst="bentConnector3">
          <a:avLst>
            <a:gd name="adj1" fmla="val 50000"/>
          </a:avLst>
        </a:prstGeom>
        <a:ln>
          <a:solidFill>
            <a:srgbClr val="006666"/>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2321278</xdr:colOff>
      <xdr:row>10</xdr:row>
      <xdr:rowOff>268111</xdr:rowOff>
    </xdr:from>
    <xdr:to>
      <xdr:col>3</xdr:col>
      <xdr:colOff>3464278</xdr:colOff>
      <xdr:row>10</xdr:row>
      <xdr:rowOff>846667</xdr:rowOff>
    </xdr:to>
    <xdr:cxnSp macro="">
      <xdr:nvCxnSpPr>
        <xdr:cNvPr id="4" name="Conector: angular 3">
          <a:extLst>
            <a:ext uri="{FF2B5EF4-FFF2-40B4-BE49-F238E27FC236}">
              <a16:creationId xmlns:a16="http://schemas.microsoft.com/office/drawing/2014/main" id="{232CE47E-9954-4F3E-858A-59E295A1AD79}"/>
            </a:ext>
          </a:extLst>
        </xdr:cNvPr>
        <xdr:cNvCxnSpPr/>
      </xdr:nvCxnSpPr>
      <xdr:spPr>
        <a:xfrm>
          <a:off x="8747478" y="2433461"/>
          <a:ext cx="0" cy="706"/>
        </a:xfrm>
        <a:prstGeom prst="bentConnector3">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14111</xdr:colOff>
      <xdr:row>9</xdr:row>
      <xdr:rowOff>84671</xdr:rowOff>
    </xdr:from>
    <xdr:to>
      <xdr:col>3</xdr:col>
      <xdr:colOff>14111</xdr:colOff>
      <xdr:row>10</xdr:row>
      <xdr:rowOff>105838</xdr:rowOff>
    </xdr:to>
    <xdr:cxnSp macro="">
      <xdr:nvCxnSpPr>
        <xdr:cNvPr id="6" name="Conector: angular 5">
          <a:extLst>
            <a:ext uri="{FF2B5EF4-FFF2-40B4-BE49-F238E27FC236}">
              <a16:creationId xmlns:a16="http://schemas.microsoft.com/office/drawing/2014/main" id="{3F896BB0-3BFB-4F53-B5AD-0681634745AE}"/>
            </a:ext>
          </a:extLst>
        </xdr:cNvPr>
        <xdr:cNvCxnSpPr/>
      </xdr:nvCxnSpPr>
      <xdr:spPr>
        <a:xfrm>
          <a:off x="5138561" y="2161121"/>
          <a:ext cx="2730500" cy="198967"/>
        </a:xfrm>
        <a:prstGeom prst="bentConnector3">
          <a:avLst>
            <a:gd name="adj1" fmla="val 68954"/>
          </a:avLst>
        </a:prstGeom>
        <a:ln>
          <a:solidFill>
            <a:srgbClr val="006666"/>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0</xdr:colOff>
      <xdr:row>0</xdr:row>
      <xdr:rowOff>247949</xdr:rowOff>
    </xdr:from>
    <xdr:to>
      <xdr:col>5</xdr:col>
      <xdr:colOff>1228569</xdr:colOff>
      <xdr:row>1</xdr:row>
      <xdr:rowOff>372750</xdr:rowOff>
    </xdr:to>
    <xdr:pic>
      <xdr:nvPicPr>
        <xdr:cNvPr id="7" name="Imagen 6" descr="ATM | web oficial de l&amp;#39;Autoritat del Transport Metropolità">
          <a:extLst>
            <a:ext uri="{FF2B5EF4-FFF2-40B4-BE49-F238E27FC236}">
              <a16:creationId xmlns:a16="http://schemas.microsoft.com/office/drawing/2014/main" id="{DFEDC9BE-1182-4005-9435-8E436404D3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85500" y="247949"/>
          <a:ext cx="1225394" cy="375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249632</xdr:colOff>
      <xdr:row>0</xdr:row>
      <xdr:rowOff>158751</xdr:rowOff>
    </xdr:from>
    <xdr:to>
      <xdr:col>7</xdr:col>
      <xdr:colOff>1326</xdr:colOff>
      <xdr:row>1</xdr:row>
      <xdr:rowOff>360868</xdr:rowOff>
    </xdr:to>
    <xdr:pic>
      <xdr:nvPicPr>
        <xdr:cNvPr id="8" name="Imagen 7">
          <a:extLst>
            <a:ext uri="{FF2B5EF4-FFF2-40B4-BE49-F238E27FC236}">
              <a16:creationId xmlns:a16="http://schemas.microsoft.com/office/drawing/2014/main" id="{3AE16531-109F-4049-B877-896F912CE5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6570" y="158751"/>
          <a:ext cx="1073287" cy="456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thesisllc.sharepoint.com/clients/Autoritat%20Del%20Transport%20Metropolit%20Atm/P-1004326%20Asistencia%20t&#233;cnica%20al%20servicio%20de%20Movilidad%20de%20la%20ATM/Analysis/Suport/20211123_GuiaZBE/20211129_EinaImpacteZBE_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_km_IDOM"/>
      <sheetName val="SIMMB"/>
      <sheetName val="Urbans_cotxe_moto_taxi_SIMMB"/>
      <sheetName val="1b.In_XUrbana"/>
      <sheetName val="Entrada de dades"/>
      <sheetName val="Resultats"/>
      <sheetName val="Emissions"/>
      <sheetName val="Veh·km"/>
      <sheetName val="Municipis"/>
      <sheetName val="Superfície ZBE"/>
      <sheetName val="Exempcions"/>
    </sheetNames>
    <sheetDataSet>
      <sheetData sheetId="0"/>
      <sheetData sheetId="1"/>
      <sheetData sheetId="2"/>
      <sheetData sheetId="3"/>
      <sheetData sheetId="4">
        <row r="19">
          <cell r="B19">
            <v>0.05</v>
          </cell>
        </row>
        <row r="20">
          <cell r="B20">
            <v>0.55000000000000004</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24BE-9FDE-49D7-9388-E20605DB527E}">
  <sheetPr>
    <pageSetUpPr fitToPage="1"/>
  </sheetPr>
  <dimension ref="A1:H39"/>
  <sheetViews>
    <sheetView topLeftCell="A13" workbookViewId="0">
      <selection activeCell="E39" sqref="E39"/>
    </sheetView>
  </sheetViews>
  <sheetFormatPr baseColWidth="10" defaultColWidth="11.453125" defaultRowHeight="14.5" x14ac:dyDescent="0.35"/>
  <cols>
    <col min="1" max="8" width="11.453125" style="8"/>
  </cols>
  <sheetData>
    <row r="1" spans="1:8" ht="15" thickBot="1" x14ac:dyDescent="0.4">
      <c r="A1" s="251" t="s">
        <v>0</v>
      </c>
      <c r="B1" s="252"/>
      <c r="C1" s="252"/>
      <c r="D1" s="252"/>
      <c r="E1" s="252"/>
      <c r="F1" s="252"/>
      <c r="G1" s="252"/>
      <c r="H1" s="253"/>
    </row>
    <row r="2" spans="1:8" ht="15" thickBot="1" x14ac:dyDescent="0.4">
      <c r="A2" s="9"/>
      <c r="B2" s="5"/>
      <c r="C2" s="5"/>
      <c r="D2" s="5"/>
      <c r="E2" s="5"/>
      <c r="F2" s="5"/>
      <c r="G2" s="5"/>
      <c r="H2" s="5"/>
    </row>
    <row r="3" spans="1:8" x14ac:dyDescent="0.35">
      <c r="A3" s="254"/>
      <c r="B3" s="254" t="s">
        <v>1</v>
      </c>
      <c r="C3" s="1" t="s">
        <v>2</v>
      </c>
      <c r="D3" s="256" t="s">
        <v>3</v>
      </c>
      <c r="E3" s="257"/>
      <c r="F3" s="257"/>
      <c r="G3" s="257"/>
      <c r="H3" s="258"/>
    </row>
    <row r="4" spans="1:8" ht="15" thickBot="1" x14ac:dyDescent="0.4">
      <c r="A4" s="255"/>
      <c r="B4" s="255"/>
      <c r="C4" s="2" t="s">
        <v>4</v>
      </c>
      <c r="D4" s="259"/>
      <c r="E4" s="260"/>
      <c r="F4" s="260"/>
      <c r="G4" s="260"/>
      <c r="H4" s="261"/>
    </row>
    <row r="5" spans="1:8" ht="15" thickBot="1" x14ac:dyDescent="0.4">
      <c r="A5" s="10"/>
      <c r="B5" s="249" t="s">
        <v>5</v>
      </c>
      <c r="C5" s="250"/>
      <c r="D5" s="2" t="s">
        <v>6</v>
      </c>
      <c r="E5" s="2" t="s">
        <v>7</v>
      </c>
      <c r="F5" s="2" t="s">
        <v>8</v>
      </c>
      <c r="G5" s="2" t="s">
        <v>9</v>
      </c>
      <c r="H5" s="2" t="s">
        <v>10</v>
      </c>
    </row>
    <row r="6" spans="1:8" ht="29.5" thickBot="1" x14ac:dyDescent="0.4">
      <c r="A6" s="11" t="s">
        <v>11</v>
      </c>
      <c r="B6" s="3">
        <v>39791196</v>
      </c>
      <c r="C6" s="3">
        <v>14523787</v>
      </c>
      <c r="D6" s="6">
        <v>0.25</v>
      </c>
      <c r="E6" s="6">
        <v>0.35499999999999998</v>
      </c>
      <c r="F6" s="6">
        <v>0.151</v>
      </c>
      <c r="G6" s="6">
        <v>0.13200000000000001</v>
      </c>
      <c r="H6" s="6">
        <v>0.111</v>
      </c>
    </row>
    <row r="7" spans="1:8" ht="15" thickBot="1" x14ac:dyDescent="0.4">
      <c r="A7" s="12" t="s">
        <v>12</v>
      </c>
      <c r="B7" s="4">
        <v>14506574</v>
      </c>
      <c r="C7" s="4">
        <v>5294900</v>
      </c>
      <c r="D7" s="7">
        <v>0.219</v>
      </c>
      <c r="E7" s="7">
        <v>0.21299999999999999</v>
      </c>
      <c r="F7" s="7">
        <v>0.30299999999999999</v>
      </c>
      <c r="G7" s="7">
        <v>0.104</v>
      </c>
      <c r="H7" s="7">
        <v>0.16200000000000001</v>
      </c>
    </row>
    <row r="8" spans="1:8" ht="15" thickBot="1" x14ac:dyDescent="0.4">
      <c r="A8" s="11" t="s">
        <v>13</v>
      </c>
      <c r="B8" s="3">
        <v>54297771</v>
      </c>
      <c r="C8" s="3">
        <v>19818686</v>
      </c>
      <c r="D8" s="6">
        <v>0.24199999999999999</v>
      </c>
      <c r="E8" s="6">
        <v>0.317</v>
      </c>
      <c r="F8" s="6">
        <v>0.192</v>
      </c>
      <c r="G8" s="6">
        <v>0.124</v>
      </c>
      <c r="H8" s="6">
        <v>0.125</v>
      </c>
    </row>
    <row r="9" spans="1:8" ht="15" thickBot="1" x14ac:dyDescent="0.4">
      <c r="A9" s="9"/>
      <c r="B9" s="5"/>
      <c r="C9" s="5"/>
      <c r="D9" s="5"/>
      <c r="E9" s="5"/>
      <c r="F9" s="5"/>
      <c r="G9" s="5"/>
      <c r="H9" s="5"/>
    </row>
    <row r="10" spans="1:8" ht="15" thickBot="1" x14ac:dyDescent="0.4">
      <c r="A10" s="10"/>
      <c r="B10" s="249" t="s">
        <v>14</v>
      </c>
      <c r="C10" s="250"/>
      <c r="D10" s="2" t="s">
        <v>6</v>
      </c>
      <c r="E10" s="2" t="s">
        <v>7</v>
      </c>
      <c r="F10" s="2" t="s">
        <v>8</v>
      </c>
      <c r="G10" s="2" t="s">
        <v>9</v>
      </c>
      <c r="H10" s="2" t="s">
        <v>10</v>
      </c>
    </row>
    <row r="11" spans="1:8" ht="29.5" thickBot="1" x14ac:dyDescent="0.4">
      <c r="A11" s="11" t="s">
        <v>11</v>
      </c>
      <c r="B11" s="3">
        <v>3611487</v>
      </c>
      <c r="C11" s="3">
        <v>1318193</v>
      </c>
      <c r="D11" s="6">
        <v>0.23599999999999999</v>
      </c>
      <c r="E11" s="6">
        <v>0.36899999999999999</v>
      </c>
      <c r="F11" s="6">
        <v>0.13500000000000001</v>
      </c>
      <c r="G11" s="6">
        <v>0.13</v>
      </c>
      <c r="H11" s="6">
        <v>0.13</v>
      </c>
    </row>
    <row r="12" spans="1:8" ht="15" thickBot="1" x14ac:dyDescent="0.4">
      <c r="A12" s="12" t="s">
        <v>12</v>
      </c>
      <c r="B12" s="4">
        <v>735596</v>
      </c>
      <c r="C12" s="4">
        <v>268493</v>
      </c>
      <c r="D12" s="7">
        <v>0.21</v>
      </c>
      <c r="E12" s="7">
        <v>0.22700000000000001</v>
      </c>
      <c r="F12" s="7">
        <v>0.26700000000000002</v>
      </c>
      <c r="G12" s="7">
        <v>0.124</v>
      </c>
      <c r="H12" s="7">
        <v>0.17299999999999999</v>
      </c>
    </row>
    <row r="13" spans="1:8" ht="15" thickBot="1" x14ac:dyDescent="0.4">
      <c r="A13" s="11" t="s">
        <v>13</v>
      </c>
      <c r="B13" s="3">
        <v>4347083</v>
      </c>
      <c r="C13" s="3">
        <v>1586685</v>
      </c>
      <c r="D13" s="6">
        <v>0.23100000000000001</v>
      </c>
      <c r="E13" s="6">
        <v>0.34499999999999997</v>
      </c>
      <c r="F13" s="6">
        <v>0.157</v>
      </c>
      <c r="G13" s="6">
        <v>0.129</v>
      </c>
      <c r="H13" s="6">
        <v>0.13700000000000001</v>
      </c>
    </row>
    <row r="14" spans="1:8" ht="15" thickBot="1" x14ac:dyDescent="0.4">
      <c r="A14" s="9"/>
      <c r="B14" s="5"/>
      <c r="C14" s="5"/>
      <c r="D14" s="5"/>
      <c r="E14" s="5"/>
      <c r="F14" s="5"/>
      <c r="G14" s="5"/>
      <c r="H14" s="5"/>
    </row>
    <row r="15" spans="1:8" ht="15" thickBot="1" x14ac:dyDescent="0.4">
      <c r="A15" s="10"/>
      <c r="B15" s="249" t="s">
        <v>13</v>
      </c>
      <c r="C15" s="250"/>
      <c r="D15" s="2" t="s">
        <v>6</v>
      </c>
      <c r="E15" s="2" t="s">
        <v>7</v>
      </c>
      <c r="F15" s="2" t="s">
        <v>8</v>
      </c>
      <c r="G15" s="2" t="s">
        <v>9</v>
      </c>
      <c r="H15" s="2" t="s">
        <v>10</v>
      </c>
    </row>
    <row r="16" spans="1:8" ht="29.5" thickBot="1" x14ac:dyDescent="0.4">
      <c r="A16" s="11" t="s">
        <v>11</v>
      </c>
      <c r="B16" s="3">
        <v>43402683</v>
      </c>
      <c r="C16" s="3">
        <v>15841979</v>
      </c>
      <c r="D16" s="6">
        <v>0.249</v>
      </c>
      <c r="E16" s="6">
        <v>0.35599999999999998</v>
      </c>
      <c r="F16" s="6">
        <v>0.15</v>
      </c>
      <c r="G16" s="6">
        <v>0.13200000000000001</v>
      </c>
      <c r="H16" s="6">
        <v>0.113</v>
      </c>
    </row>
    <row r="17" spans="1:8" ht="15" thickBot="1" x14ac:dyDescent="0.4">
      <c r="A17" s="12" t="s">
        <v>12</v>
      </c>
      <c r="B17" s="4">
        <v>15242171</v>
      </c>
      <c r="C17" s="4">
        <v>5563392</v>
      </c>
      <c r="D17" s="7">
        <v>0.219</v>
      </c>
      <c r="E17" s="7">
        <v>0.214</v>
      </c>
      <c r="F17" s="7">
        <v>0.30099999999999999</v>
      </c>
      <c r="G17" s="7">
        <v>0.105</v>
      </c>
      <c r="H17" s="7">
        <v>0.16200000000000001</v>
      </c>
    </row>
    <row r="18" spans="1:8" ht="15" thickBot="1" x14ac:dyDescent="0.4">
      <c r="A18" s="11" t="s">
        <v>13</v>
      </c>
      <c r="B18" s="3">
        <v>58644854</v>
      </c>
      <c r="C18" s="3">
        <v>21405372</v>
      </c>
      <c r="D18" s="6">
        <v>0.24099999999999999</v>
      </c>
      <c r="E18" s="6">
        <v>0.31900000000000001</v>
      </c>
      <c r="F18" s="6">
        <v>0.189</v>
      </c>
      <c r="G18" s="6">
        <v>0.125</v>
      </c>
      <c r="H18" s="6">
        <v>0.126</v>
      </c>
    </row>
    <row r="19" spans="1:8" ht="15.5" x14ac:dyDescent="0.35">
      <c r="A19" s="13"/>
    </row>
    <row r="20" spans="1:8" ht="16" thickBot="1" x14ac:dyDescent="0.4">
      <c r="A20" s="13"/>
    </row>
    <row r="21" spans="1:8" ht="15" thickBot="1" x14ac:dyDescent="0.4">
      <c r="A21" s="251" t="s">
        <v>15</v>
      </c>
      <c r="B21" s="252"/>
      <c r="C21" s="252"/>
      <c r="D21" s="252"/>
      <c r="E21" s="252"/>
      <c r="F21" s="252"/>
      <c r="G21" s="252"/>
      <c r="H21" s="253"/>
    </row>
    <row r="22" spans="1:8" ht="15" thickBot="1" x14ac:dyDescent="0.4">
      <c r="A22" s="9"/>
      <c r="B22" s="5"/>
      <c r="C22" s="5"/>
      <c r="D22" s="5"/>
      <c r="E22" s="5"/>
      <c r="F22" s="5"/>
      <c r="G22" s="5"/>
      <c r="H22" s="5"/>
    </row>
    <row r="23" spans="1:8" x14ac:dyDescent="0.35">
      <c r="A23" s="254"/>
      <c r="B23" s="254" t="s">
        <v>1</v>
      </c>
      <c r="C23" s="1" t="s">
        <v>2</v>
      </c>
      <c r="D23" s="256" t="s">
        <v>3</v>
      </c>
      <c r="E23" s="257"/>
      <c r="F23" s="257"/>
      <c r="G23" s="257"/>
      <c r="H23" s="258"/>
    </row>
    <row r="24" spans="1:8" ht="15" thickBot="1" x14ac:dyDescent="0.4">
      <c r="A24" s="255"/>
      <c r="B24" s="255"/>
      <c r="C24" s="2" t="s">
        <v>4</v>
      </c>
      <c r="D24" s="259"/>
      <c r="E24" s="260"/>
      <c r="F24" s="260"/>
      <c r="G24" s="260"/>
      <c r="H24" s="261"/>
    </row>
    <row r="25" spans="1:8" ht="15" thickBot="1" x14ac:dyDescent="0.4">
      <c r="A25" s="10"/>
      <c r="B25" s="249" t="s">
        <v>5</v>
      </c>
      <c r="C25" s="250"/>
      <c r="D25" s="2" t="s">
        <v>6</v>
      </c>
      <c r="E25" s="2" t="s">
        <v>7</v>
      </c>
      <c r="F25" s="2" t="s">
        <v>8</v>
      </c>
      <c r="G25" s="2" t="s">
        <v>9</v>
      </c>
      <c r="H25" s="2" t="s">
        <v>10</v>
      </c>
    </row>
    <row r="26" spans="1:8" ht="29.5" thickBot="1" x14ac:dyDescent="0.4">
      <c r="A26" s="11" t="s">
        <v>11</v>
      </c>
      <c r="B26" s="3">
        <v>49975880</v>
      </c>
      <c r="C26" s="3">
        <v>18241196</v>
      </c>
      <c r="D26" s="6">
        <v>0.312</v>
      </c>
      <c r="E26" s="6">
        <v>0.36799999999999999</v>
      </c>
      <c r="F26" s="6">
        <v>0.125</v>
      </c>
      <c r="G26" s="6">
        <v>0.105</v>
      </c>
      <c r="H26" s="6">
        <v>8.8999999999999996E-2</v>
      </c>
    </row>
    <row r="27" spans="1:8" ht="15" thickBot="1" x14ac:dyDescent="0.4">
      <c r="A27" s="12" t="s">
        <v>12</v>
      </c>
      <c r="B27" s="4">
        <v>20703229</v>
      </c>
      <c r="C27" s="4">
        <v>7556678</v>
      </c>
      <c r="D27" s="7">
        <v>0.27800000000000002</v>
      </c>
      <c r="E27" s="7">
        <v>0.22600000000000001</v>
      </c>
      <c r="F27" s="7">
        <v>0.28799999999999998</v>
      </c>
      <c r="G27" s="7">
        <v>9.0999999999999998E-2</v>
      </c>
      <c r="H27" s="7">
        <v>0.11700000000000001</v>
      </c>
    </row>
    <row r="28" spans="1:8" ht="15" thickBot="1" x14ac:dyDescent="0.4">
      <c r="A28" s="11" t="s">
        <v>13</v>
      </c>
      <c r="B28" s="3">
        <v>70679109</v>
      </c>
      <c r="C28" s="3">
        <v>25797875</v>
      </c>
      <c r="D28" s="6">
        <v>0.30199999999999999</v>
      </c>
      <c r="E28" s="6">
        <v>0.32700000000000001</v>
      </c>
      <c r="F28" s="6">
        <v>0.17299999999999999</v>
      </c>
      <c r="G28" s="6">
        <v>0.10100000000000001</v>
      </c>
      <c r="H28" s="6">
        <v>9.7000000000000003E-2</v>
      </c>
    </row>
    <row r="29" spans="1:8" ht="15" thickBot="1" x14ac:dyDescent="0.4">
      <c r="A29" s="9"/>
      <c r="B29" s="5"/>
      <c r="C29" s="5"/>
      <c r="D29" s="5"/>
      <c r="E29" s="5"/>
      <c r="F29" s="5"/>
      <c r="G29" s="5"/>
      <c r="H29" s="5"/>
    </row>
    <row r="30" spans="1:8" ht="15" thickBot="1" x14ac:dyDescent="0.4">
      <c r="A30" s="10"/>
      <c r="B30" s="249" t="s">
        <v>14</v>
      </c>
      <c r="C30" s="250"/>
      <c r="D30" s="2" t="s">
        <v>6</v>
      </c>
      <c r="E30" s="2" t="s">
        <v>7</v>
      </c>
      <c r="F30" s="2" t="s">
        <v>8</v>
      </c>
      <c r="G30" s="2" t="s">
        <v>9</v>
      </c>
      <c r="H30" s="2" t="s">
        <v>10</v>
      </c>
    </row>
    <row r="31" spans="1:8" ht="29.5" thickBot="1" x14ac:dyDescent="0.4">
      <c r="A31" s="11" t="s">
        <v>11</v>
      </c>
      <c r="B31" s="3">
        <v>5161491</v>
      </c>
      <c r="C31" s="3">
        <v>1883944</v>
      </c>
      <c r="D31" s="6">
        <v>0.28899999999999998</v>
      </c>
      <c r="E31" s="6">
        <v>0.42799999999999999</v>
      </c>
      <c r="F31" s="6">
        <v>0.1</v>
      </c>
      <c r="G31" s="6">
        <v>9.0999999999999998E-2</v>
      </c>
      <c r="H31" s="6">
        <v>9.0999999999999998E-2</v>
      </c>
    </row>
    <row r="32" spans="1:8" ht="15" thickBot="1" x14ac:dyDescent="0.4">
      <c r="A32" s="12" t="s">
        <v>12</v>
      </c>
      <c r="B32" s="4">
        <v>1166597</v>
      </c>
      <c r="C32" s="4">
        <v>425808</v>
      </c>
      <c r="D32" s="7">
        <v>0.28699999999999998</v>
      </c>
      <c r="E32" s="7">
        <v>0.23599999999999999</v>
      </c>
      <c r="F32" s="7">
        <v>0.26200000000000001</v>
      </c>
      <c r="G32" s="7">
        <v>0.10199999999999999</v>
      </c>
      <c r="H32" s="7">
        <v>0.113</v>
      </c>
    </row>
    <row r="33" spans="1:8" ht="15" thickBot="1" x14ac:dyDescent="0.4">
      <c r="A33" s="11" t="s">
        <v>13</v>
      </c>
      <c r="B33" s="3">
        <v>6328088</v>
      </c>
      <c r="C33" s="3">
        <v>2309752</v>
      </c>
      <c r="D33" s="6">
        <v>0.28899999999999998</v>
      </c>
      <c r="E33" s="6">
        <v>0.39300000000000002</v>
      </c>
      <c r="F33" s="6">
        <v>0.13</v>
      </c>
      <c r="G33" s="6">
        <v>9.2999999999999999E-2</v>
      </c>
      <c r="H33" s="6">
        <v>9.5000000000000001E-2</v>
      </c>
    </row>
    <row r="34" spans="1:8" ht="15" thickBot="1" x14ac:dyDescent="0.4">
      <c r="A34" s="9"/>
      <c r="B34" s="5"/>
      <c r="C34" s="5"/>
      <c r="D34" s="5"/>
      <c r="E34" s="5"/>
      <c r="F34" s="5"/>
      <c r="G34" s="5"/>
      <c r="H34" s="5"/>
    </row>
    <row r="35" spans="1:8" ht="15" thickBot="1" x14ac:dyDescent="0.4">
      <c r="A35" s="10"/>
      <c r="B35" s="249" t="s">
        <v>13</v>
      </c>
      <c r="C35" s="250"/>
      <c r="D35" s="2" t="s">
        <v>6</v>
      </c>
      <c r="E35" s="2" t="s">
        <v>7</v>
      </c>
      <c r="F35" s="2" t="s">
        <v>8</v>
      </c>
      <c r="G35" s="2" t="s">
        <v>9</v>
      </c>
      <c r="H35" s="2" t="s">
        <v>10</v>
      </c>
    </row>
    <row r="36" spans="1:8" ht="29.5" thickBot="1" x14ac:dyDescent="0.4">
      <c r="A36" s="11" t="s">
        <v>11</v>
      </c>
      <c r="B36" s="3">
        <v>55137372</v>
      </c>
      <c r="C36" s="3">
        <v>20125141</v>
      </c>
      <c r="D36" s="6">
        <v>0.31</v>
      </c>
      <c r="E36" s="6">
        <v>0.374</v>
      </c>
      <c r="F36" s="6">
        <v>0.123</v>
      </c>
      <c r="G36" s="6">
        <v>0.104</v>
      </c>
      <c r="H36" s="6">
        <v>8.8999999999999996E-2</v>
      </c>
    </row>
    <row r="37" spans="1:8" ht="15" thickBot="1" x14ac:dyDescent="0.4">
      <c r="A37" s="12" t="s">
        <v>12</v>
      </c>
      <c r="B37" s="4">
        <v>21869826</v>
      </c>
      <c r="C37" s="4">
        <v>7982486</v>
      </c>
      <c r="D37" s="7">
        <v>0.27900000000000003</v>
      </c>
      <c r="E37" s="7">
        <v>0.22600000000000001</v>
      </c>
      <c r="F37" s="7">
        <v>0.28699999999999998</v>
      </c>
      <c r="G37" s="7">
        <v>9.1999999999999998E-2</v>
      </c>
      <c r="H37" s="7">
        <v>0.11600000000000001</v>
      </c>
    </row>
    <row r="38" spans="1:8" ht="15" thickBot="1" x14ac:dyDescent="0.4">
      <c r="A38" s="11" t="s">
        <v>13</v>
      </c>
      <c r="B38" s="3">
        <v>77007197</v>
      </c>
      <c r="C38" s="3">
        <v>28107627</v>
      </c>
      <c r="D38" s="6">
        <v>0.30099999999999999</v>
      </c>
      <c r="E38" s="6">
        <v>0.33200000000000002</v>
      </c>
      <c r="F38" s="6">
        <v>0.17</v>
      </c>
      <c r="G38" s="6">
        <v>0.1</v>
      </c>
      <c r="H38" s="6">
        <v>9.7000000000000003E-2</v>
      </c>
    </row>
    <row r="39" spans="1:8" ht="15.5" x14ac:dyDescent="0.35">
      <c r="A39" s="13"/>
    </row>
  </sheetData>
  <mergeCells count="14">
    <mergeCell ref="B30:C30"/>
    <mergeCell ref="B35:C35"/>
    <mergeCell ref="B15:C15"/>
    <mergeCell ref="A21:H21"/>
    <mergeCell ref="A23:A24"/>
    <mergeCell ref="B23:B24"/>
    <mergeCell ref="D23:H24"/>
    <mergeCell ref="B25:C25"/>
    <mergeCell ref="B10:C10"/>
    <mergeCell ref="A1:H1"/>
    <mergeCell ref="A3:A4"/>
    <mergeCell ref="B3:B4"/>
    <mergeCell ref="D3:H4"/>
    <mergeCell ref="B5:C5"/>
  </mergeCells>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22C6-BD6D-4F5A-9B04-27169175AE28}">
  <dimension ref="A1:K21"/>
  <sheetViews>
    <sheetView workbookViewId="0">
      <selection activeCell="J17" sqref="J17"/>
    </sheetView>
  </sheetViews>
  <sheetFormatPr baseColWidth="10" defaultColWidth="11.453125" defaultRowHeight="14.5" x14ac:dyDescent="0.35"/>
  <cols>
    <col min="3" max="3" width="17" customWidth="1"/>
  </cols>
  <sheetData>
    <row r="1" spans="1:11" x14ac:dyDescent="0.35">
      <c r="A1" s="121" t="s">
        <v>517</v>
      </c>
      <c r="B1" s="121" t="s">
        <v>518</v>
      </c>
      <c r="C1" s="121" t="s">
        <v>519</v>
      </c>
      <c r="D1" s="121" t="s">
        <v>520</v>
      </c>
      <c r="E1" s="121" t="s">
        <v>521</v>
      </c>
      <c r="F1" s="121" t="s">
        <v>522</v>
      </c>
      <c r="G1" s="121" t="s">
        <v>523</v>
      </c>
      <c r="H1" s="121" t="s">
        <v>524</v>
      </c>
      <c r="I1" s="121" t="s">
        <v>525</v>
      </c>
    </row>
    <row r="2" spans="1:11" x14ac:dyDescent="0.35">
      <c r="A2" s="121">
        <v>8096</v>
      </c>
      <c r="B2" s="121">
        <v>80961</v>
      </c>
      <c r="C2" s="121" t="s">
        <v>151</v>
      </c>
      <c r="D2" s="122">
        <v>62419</v>
      </c>
      <c r="E2" s="121">
        <v>663.55420000000004</v>
      </c>
      <c r="F2" s="121">
        <f>'Entrada de dades'!$B$8/'Superfície ZBE'!E2</f>
        <v>1.145347282859486E-3</v>
      </c>
      <c r="G2" s="121">
        <f>1-F2</f>
        <v>0.99885465271714047</v>
      </c>
      <c r="H2" s="121">
        <f>F2/(1*(1/F2))</f>
        <v>1.3118203983536074E-6</v>
      </c>
      <c r="I2" s="121">
        <f>H2*G2</f>
        <v>1.3103179084247535E-6</v>
      </c>
    </row>
    <row r="3" spans="1:11" x14ac:dyDescent="0.35">
      <c r="A3" s="121">
        <v>8121</v>
      </c>
      <c r="B3" s="121">
        <v>81213</v>
      </c>
      <c r="C3" s="121" t="s">
        <v>175</v>
      </c>
      <c r="D3" s="122">
        <v>129661</v>
      </c>
      <c r="E3" s="121">
        <v>812.50750000000005</v>
      </c>
      <c r="F3" s="121">
        <f>'Entrada de dades'!$B$8/'Superfície ZBE'!E3</f>
        <v>9.3537598114478934E-4</v>
      </c>
      <c r="G3" s="121">
        <f t="shared" ref="G3:G12" si="0">1-F3</f>
        <v>0.99906462401885521</v>
      </c>
      <c r="H3" s="121">
        <f t="shared" ref="H3:H12" si="1">F3/(1*(1/F3))</f>
        <v>8.7492822610257737E-7</v>
      </c>
      <c r="I3" s="121">
        <f t="shared" ref="I3:I12" si="2">H3*G3</f>
        <v>8.7410983925465541E-7</v>
      </c>
    </row>
    <row r="4" spans="1:11" x14ac:dyDescent="0.35">
      <c r="A4" s="121">
        <v>8124</v>
      </c>
      <c r="B4" s="121">
        <v>81249</v>
      </c>
      <c r="C4" s="121" t="s">
        <v>181</v>
      </c>
      <c r="D4" s="122">
        <v>51600</v>
      </c>
      <c r="E4" s="121">
        <v>537.68240000000003</v>
      </c>
      <c r="F4" s="121">
        <f>'Entrada de dades'!$B$8/'Superfície ZBE'!E4</f>
        <v>1.4134738276722467E-3</v>
      </c>
      <c r="G4" s="121">
        <f t="shared" si="0"/>
        <v>0.99858652617232779</v>
      </c>
      <c r="H4" s="121">
        <f t="shared" si="1"/>
        <v>1.9979082615144321E-6</v>
      </c>
      <c r="I4" s="121">
        <f t="shared" si="2"/>
        <v>1.9950842704766912E-6</v>
      </c>
    </row>
    <row r="5" spans="1:11" x14ac:dyDescent="0.35">
      <c r="A5" s="121">
        <v>8184</v>
      </c>
      <c r="B5" s="121">
        <v>81846</v>
      </c>
      <c r="C5" s="121" t="s">
        <v>237</v>
      </c>
      <c r="D5" s="122">
        <v>78591</v>
      </c>
      <c r="E5" s="121">
        <v>729.55139999999994</v>
      </c>
      <c r="F5" s="121">
        <f>'Entrada de dades'!$B$8/'Superfície ZBE'!E5</f>
        <v>1.0417360586245192E-3</v>
      </c>
      <c r="G5" s="121">
        <f t="shared" si="0"/>
        <v>0.99895826394137544</v>
      </c>
      <c r="H5" s="121">
        <f t="shared" si="1"/>
        <v>1.0852140158385477E-6</v>
      </c>
      <c r="I5" s="121">
        <f t="shared" si="2"/>
        <v>1.0840835092669239E-6</v>
      </c>
    </row>
    <row r="6" spans="1:11" x14ac:dyDescent="0.35">
      <c r="A6" s="121">
        <v>8187</v>
      </c>
      <c r="B6" s="121">
        <v>81878</v>
      </c>
      <c r="C6" s="121" t="s">
        <v>239</v>
      </c>
      <c r="D6" s="122">
        <v>216520</v>
      </c>
      <c r="E6" s="123">
        <v>1646.454</v>
      </c>
      <c r="F6" s="121">
        <f>'Entrada de dades'!$B$8/'Superfície ZBE'!E6</f>
        <v>4.6159807683664411E-4</v>
      </c>
      <c r="G6" s="121">
        <f t="shared" si="0"/>
        <v>0.99953840192316334</v>
      </c>
      <c r="H6" s="121">
        <f t="shared" si="1"/>
        <v>2.1307278453928841E-7</v>
      </c>
      <c r="I6" s="121">
        <f t="shared" si="2"/>
        <v>2.1297443055171884E-7</v>
      </c>
    </row>
    <row r="7" spans="1:11" x14ac:dyDescent="0.35">
      <c r="A7" s="121">
        <v>8279</v>
      </c>
      <c r="B7" s="121">
        <v>82798</v>
      </c>
      <c r="C7" s="121" t="s">
        <v>339</v>
      </c>
      <c r="D7" s="122">
        <v>223627</v>
      </c>
      <c r="E7" s="123">
        <v>2095.5479</v>
      </c>
      <c r="F7" s="121">
        <f>'Entrada de dades'!$B$8/'Superfície ZBE'!E7</f>
        <v>3.6267364730722691E-4</v>
      </c>
      <c r="G7" s="121">
        <f t="shared" si="0"/>
        <v>0.99963732635269276</v>
      </c>
      <c r="H7" s="121">
        <f t="shared" si="1"/>
        <v>1.3153217445112682E-7</v>
      </c>
      <c r="I7" s="121">
        <f t="shared" si="2"/>
        <v>1.3148447119768037E-7</v>
      </c>
    </row>
    <row r="8" spans="1:11" x14ac:dyDescent="0.35">
      <c r="A8" s="121">
        <v>8305</v>
      </c>
      <c r="B8" s="121">
        <v>83054</v>
      </c>
      <c r="C8" s="121" t="s">
        <v>369</v>
      </c>
      <c r="D8" s="122">
        <v>40154</v>
      </c>
      <c r="E8" s="121">
        <v>375.54219999999998</v>
      </c>
      <c r="F8" s="121">
        <f>'Entrada de dades'!$B$8/'Superfície ZBE'!E8</f>
        <v>2.0237406075801867E-3</v>
      </c>
      <c r="G8" s="121">
        <f t="shared" si="0"/>
        <v>0.99797625939241985</v>
      </c>
      <c r="H8" s="121">
        <f t="shared" si="1"/>
        <v>4.0955260467690227E-6</v>
      </c>
      <c r="I8" s="121">
        <f t="shared" si="2"/>
        <v>4.0872377643987744E-6</v>
      </c>
    </row>
    <row r="9" spans="1:11" x14ac:dyDescent="0.35">
      <c r="A9" s="121">
        <v>8307</v>
      </c>
      <c r="B9" s="121">
        <v>83073</v>
      </c>
      <c r="C9" s="121" t="s">
        <v>373</v>
      </c>
      <c r="D9" s="122">
        <v>67733</v>
      </c>
      <c r="E9" s="121">
        <v>588.00530000000003</v>
      </c>
      <c r="F9" s="121">
        <f>'Entrada de dades'!$B$8/'Superfície ZBE'!E9</f>
        <v>1.2925053566694041E-3</v>
      </c>
      <c r="G9" s="121">
        <f t="shared" si="0"/>
        <v>0.99870749464333064</v>
      </c>
      <c r="H9" s="121">
        <f t="shared" si="1"/>
        <v>1.6705700970191035E-6</v>
      </c>
      <c r="I9" s="121">
        <f t="shared" si="2"/>
        <v>1.6684108762200147E-6</v>
      </c>
      <c r="K9" s="87"/>
    </row>
    <row r="10" spans="1:11" x14ac:dyDescent="0.35">
      <c r="A10" s="121">
        <v>8113</v>
      </c>
      <c r="B10" s="121">
        <v>81136</v>
      </c>
      <c r="C10" s="121" t="s">
        <v>502</v>
      </c>
      <c r="D10" s="122">
        <v>78245</v>
      </c>
      <c r="E10" s="121">
        <v>711.202</v>
      </c>
      <c r="F10" s="121">
        <f>'Entrada de dades'!$B$8/'Superfície ZBE'!E10</f>
        <v>1.0686134178475315E-3</v>
      </c>
      <c r="G10" s="121">
        <f t="shared" si="0"/>
        <v>0.99893138658215241</v>
      </c>
      <c r="H10" s="121">
        <f t="shared" si="1"/>
        <v>1.1419346368037829E-6</v>
      </c>
      <c r="I10" s="121">
        <f t="shared" si="2"/>
        <v>1.1407143501285895E-6</v>
      </c>
      <c r="K10" s="88"/>
    </row>
    <row r="11" spans="1:11" x14ac:dyDescent="0.35">
      <c r="A11" s="121">
        <v>8298</v>
      </c>
      <c r="B11" s="121">
        <v>82981</v>
      </c>
      <c r="C11" s="121" t="s">
        <v>503</v>
      </c>
      <c r="D11" s="122">
        <v>47630</v>
      </c>
      <c r="E11" s="121">
        <v>760.38589999999999</v>
      </c>
      <c r="F11" s="121">
        <f>'Entrada de dades'!$B$8/'Superfície ZBE'!E11</f>
        <v>9.99492494534683E-4</v>
      </c>
      <c r="G11" s="121">
        <f t="shared" si="0"/>
        <v>0.99900050750546532</v>
      </c>
      <c r="H11" s="121">
        <f t="shared" si="1"/>
        <v>9.9898524663116336E-7</v>
      </c>
      <c r="I11" s="121">
        <f t="shared" si="2"/>
        <v>9.9798676837500465E-7</v>
      </c>
      <c r="K11" s="87"/>
    </row>
    <row r="12" spans="1:11" x14ac:dyDescent="0.35">
      <c r="A12" s="121">
        <v>8102</v>
      </c>
      <c r="B12" s="121">
        <v>81022</v>
      </c>
      <c r="C12" s="121" t="s">
        <v>504</v>
      </c>
      <c r="D12" s="122">
        <v>40742</v>
      </c>
      <c r="E12" s="121">
        <v>621.5471</v>
      </c>
      <c r="F12" s="121">
        <f>'Entrada de dades'!$B$8/'Superfície ZBE'!E12</f>
        <v>1.2227552827452659E-3</v>
      </c>
      <c r="G12" s="121">
        <f t="shared" si="0"/>
        <v>0.99877724471725471</v>
      </c>
      <c r="H12" s="121">
        <f t="shared" si="1"/>
        <v>1.495130481481455E-6</v>
      </c>
      <c r="I12" s="121">
        <f t="shared" si="2"/>
        <v>1.4933023027868301E-6</v>
      </c>
    </row>
    <row r="14" spans="1:11" ht="18.649999999999999" customHeight="1" thickBot="1" x14ac:dyDescent="0.4">
      <c r="A14" s="117"/>
      <c r="B14" s="117"/>
      <c r="C14" s="117"/>
      <c r="D14" s="117"/>
      <c r="E14" s="87"/>
    </row>
    <row r="15" spans="1:11" ht="36" customHeight="1" thickBot="1" x14ac:dyDescent="0.4">
      <c r="A15" s="274" t="s">
        <v>526</v>
      </c>
      <c r="B15" s="274"/>
      <c r="C15" s="274"/>
      <c r="D15" s="274"/>
      <c r="E15" s="118"/>
    </row>
    <row r="16" spans="1:11" ht="18" customHeight="1" thickBot="1" x14ac:dyDescent="0.4">
      <c r="A16" s="117"/>
      <c r="B16" s="117"/>
      <c r="C16" s="117"/>
      <c r="D16" s="117"/>
      <c r="E16" s="87"/>
    </row>
    <row r="17" spans="1:5" ht="36" customHeight="1" thickBot="1" x14ac:dyDescent="0.4">
      <c r="A17" s="274" t="s">
        <v>527</v>
      </c>
      <c r="B17" s="274"/>
      <c r="C17" s="274"/>
      <c r="D17" s="274"/>
      <c r="E17" s="118"/>
    </row>
    <row r="19" spans="1:5" x14ac:dyDescent="0.35">
      <c r="A19" s="87"/>
    </row>
    <row r="21" spans="1:5" x14ac:dyDescent="0.35">
      <c r="A21" s="88"/>
    </row>
  </sheetData>
  <mergeCells count="2">
    <mergeCell ref="A15:D15"/>
    <mergeCell ref="A17:D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37C7-BA1F-42A7-AAEA-38F05DCFED5C}">
  <dimension ref="A1:H33"/>
  <sheetViews>
    <sheetView workbookViewId="0">
      <selection activeCell="AD5" sqref="AD5"/>
    </sheetView>
  </sheetViews>
  <sheetFormatPr baseColWidth="10" defaultColWidth="11.453125" defaultRowHeight="14.5" x14ac:dyDescent="0.35"/>
  <sheetData>
    <row r="1" spans="1:8" ht="18" customHeight="1" thickBot="1" x14ac:dyDescent="0.4">
      <c r="A1" s="117"/>
      <c r="B1" s="117"/>
      <c r="C1" s="117"/>
      <c r="D1" s="117"/>
    </row>
    <row r="2" spans="1:8" ht="36" customHeight="1" thickBot="1" x14ac:dyDescent="0.4">
      <c r="A2" s="274" t="s">
        <v>528</v>
      </c>
      <c r="B2" s="274"/>
      <c r="C2" s="274"/>
      <c r="D2" s="274"/>
      <c r="E2" s="125">
        <v>1.2</v>
      </c>
      <c r="F2" s="125">
        <v>1.2</v>
      </c>
      <c r="G2" s="125">
        <v>1.2</v>
      </c>
      <c r="H2" s="126">
        <v>1.2</v>
      </c>
    </row>
    <row r="31" spans="1:1" x14ac:dyDescent="0.35">
      <c r="A31" t="s">
        <v>529</v>
      </c>
    </row>
    <row r="32" spans="1:1" x14ac:dyDescent="0.35">
      <c r="A32" t="s">
        <v>530</v>
      </c>
    </row>
    <row r="33" spans="1:1" x14ac:dyDescent="0.35">
      <c r="A33" t="s">
        <v>531</v>
      </c>
    </row>
  </sheetData>
  <mergeCells count="1">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AAAA-8096-4387-B682-ED71E1C6E8BD}">
  <dimension ref="A1:V22"/>
  <sheetViews>
    <sheetView zoomScale="80" zoomScaleNormal="80" workbookViewId="0">
      <selection activeCell="E39" sqref="E39"/>
    </sheetView>
  </sheetViews>
  <sheetFormatPr baseColWidth="10" defaultColWidth="11.453125" defaultRowHeight="14.5" x14ac:dyDescent="0.35"/>
  <cols>
    <col min="10" max="10" width="4.6328125" customWidth="1"/>
    <col min="11" max="11" width="7.54296875" customWidth="1"/>
    <col min="13" max="13" width="12.90625" bestFit="1" customWidth="1"/>
  </cols>
  <sheetData>
    <row r="1" spans="1:22" ht="15" thickBot="1" x14ac:dyDescent="0.4">
      <c r="L1" s="262" t="s">
        <v>16</v>
      </c>
      <c r="M1" s="262"/>
      <c r="N1" s="262"/>
      <c r="O1" s="262"/>
      <c r="P1" s="262"/>
      <c r="Q1" s="262"/>
      <c r="R1" s="262"/>
      <c r="S1" s="262"/>
    </row>
    <row r="2" spans="1:22" ht="15" customHeight="1" thickBot="1" x14ac:dyDescent="0.4">
      <c r="A2" s="59" t="s">
        <v>15</v>
      </c>
      <c r="B2" s="57"/>
      <c r="C2" s="57"/>
      <c r="D2" s="57"/>
      <c r="E2" s="57"/>
      <c r="F2" s="57"/>
      <c r="G2" s="57"/>
      <c r="H2" s="57"/>
      <c r="I2" s="58"/>
      <c r="L2" s="56"/>
      <c r="M2" s="14"/>
    </row>
    <row r="3" spans="1:22" ht="15" thickBot="1" x14ac:dyDescent="0.4">
      <c r="B3" s="9"/>
      <c r="C3" s="5"/>
      <c r="D3" s="5"/>
      <c r="E3" s="5"/>
      <c r="F3" s="5"/>
      <c r="G3" s="5"/>
      <c r="H3" s="5"/>
      <c r="I3" s="5"/>
      <c r="L3" s="14"/>
      <c r="M3" s="14"/>
    </row>
    <row r="4" spans="1:22" x14ac:dyDescent="0.35">
      <c r="A4" s="263" t="s">
        <v>17</v>
      </c>
      <c r="B4" s="254"/>
      <c r="C4" s="254" t="s">
        <v>1</v>
      </c>
      <c r="D4" s="1" t="s">
        <v>2</v>
      </c>
      <c r="E4" s="256" t="s">
        <v>3</v>
      </c>
      <c r="F4" s="257"/>
      <c r="G4" s="257"/>
      <c r="H4" s="257"/>
      <c r="I4" s="258"/>
      <c r="K4" s="263" t="s">
        <v>18</v>
      </c>
      <c r="L4" s="254"/>
      <c r="M4" s="254" t="s">
        <v>1</v>
      </c>
      <c r="N4" s="1" t="s">
        <v>2</v>
      </c>
      <c r="O4" s="256" t="s">
        <v>3</v>
      </c>
      <c r="P4" s="257"/>
      <c r="Q4" s="257"/>
      <c r="R4" s="257"/>
      <c r="S4" s="258"/>
    </row>
    <row r="5" spans="1:22" ht="15" thickBot="1" x14ac:dyDescent="0.4">
      <c r="A5" s="263"/>
      <c r="B5" s="255"/>
      <c r="C5" s="255"/>
      <c r="D5" s="2" t="s">
        <v>4</v>
      </c>
      <c r="E5" s="259"/>
      <c r="F5" s="260"/>
      <c r="G5" s="260"/>
      <c r="H5" s="260"/>
      <c r="I5" s="261"/>
      <c r="K5" s="263"/>
      <c r="L5" s="255"/>
      <c r="M5" s="255"/>
      <c r="N5" s="2" t="s">
        <v>4</v>
      </c>
      <c r="O5" s="259"/>
      <c r="P5" s="260"/>
      <c r="Q5" s="260"/>
      <c r="R5" s="260"/>
      <c r="S5" s="261"/>
    </row>
    <row r="6" spans="1:22" ht="15" thickBot="1" x14ac:dyDescent="0.4">
      <c r="A6" s="263"/>
      <c r="B6" s="10"/>
      <c r="C6" s="249" t="s">
        <v>5</v>
      </c>
      <c r="D6" s="250"/>
      <c r="E6" s="2" t="s">
        <v>6</v>
      </c>
      <c r="F6" s="2" t="s">
        <v>7</v>
      </c>
      <c r="G6" s="2" t="s">
        <v>8</v>
      </c>
      <c r="H6" s="2" t="s">
        <v>9</v>
      </c>
      <c r="I6" s="2" t="s">
        <v>10</v>
      </c>
      <c r="K6" s="263"/>
      <c r="L6" s="10"/>
      <c r="M6" s="249" t="s">
        <v>5</v>
      </c>
      <c r="N6" s="250"/>
      <c r="O6" s="2" t="s">
        <v>6</v>
      </c>
      <c r="P6" s="2" t="s">
        <v>7</v>
      </c>
      <c r="Q6" s="2" t="s">
        <v>8</v>
      </c>
      <c r="R6" s="2" t="s">
        <v>9</v>
      </c>
      <c r="S6" s="2" t="s">
        <v>10</v>
      </c>
      <c r="U6" s="16"/>
    </row>
    <row r="7" spans="1:22" ht="29.5" thickBot="1" x14ac:dyDescent="0.4">
      <c r="A7" s="263"/>
      <c r="B7" s="11" t="s">
        <v>11</v>
      </c>
      <c r="C7" s="3">
        <v>49975880</v>
      </c>
      <c r="D7" s="3">
        <v>18241196</v>
      </c>
      <c r="E7" s="6">
        <v>0.312</v>
      </c>
      <c r="F7" s="6">
        <v>0.36799999999999999</v>
      </c>
      <c r="G7" s="6">
        <v>0.125</v>
      </c>
      <c r="H7" s="6">
        <v>0.105</v>
      </c>
      <c r="I7" s="6">
        <v>8.8999999999999996E-2</v>
      </c>
      <c r="J7" s="18"/>
      <c r="K7" s="263"/>
      <c r="L7" s="11" t="s">
        <v>11</v>
      </c>
      <c r="M7" s="3">
        <v>41452993.139425382</v>
      </c>
      <c r="N7" s="3">
        <v>15130342.32999826</v>
      </c>
      <c r="O7" s="6">
        <v>0.3817182319702333</v>
      </c>
      <c r="P7" s="6">
        <v>0.37819158754339877</v>
      </c>
      <c r="Q7" s="6">
        <v>0.11796423362636635</v>
      </c>
      <c r="R7" s="6">
        <v>8.6995583482714384E-2</v>
      </c>
      <c r="S7" s="6">
        <v>7.610582304890591E-2</v>
      </c>
      <c r="U7" s="16"/>
    </row>
    <row r="8" spans="1:22" ht="15" thickBot="1" x14ac:dyDescent="0.4">
      <c r="A8" s="263"/>
      <c r="B8" s="12" t="s">
        <v>12</v>
      </c>
      <c r="C8" s="4">
        <v>20703229</v>
      </c>
      <c r="D8" s="4">
        <v>7556678</v>
      </c>
      <c r="E8" s="7">
        <v>0.27800000000000002</v>
      </c>
      <c r="F8" s="7">
        <v>0.22600000000000001</v>
      </c>
      <c r="G8" s="7">
        <v>0.28799999999999998</v>
      </c>
      <c r="H8" s="7">
        <v>9.0999999999999998E-2</v>
      </c>
      <c r="I8" s="7">
        <v>0.11700000000000001</v>
      </c>
      <c r="K8" s="263"/>
      <c r="L8" s="12" t="s">
        <v>12</v>
      </c>
      <c r="M8" s="4">
        <v>16768535.216911146</v>
      </c>
      <c r="N8" s="4">
        <v>6120514.8803530922</v>
      </c>
      <c r="O8" s="7">
        <v>0.28173582206836517</v>
      </c>
      <c r="P8" s="7">
        <v>0.20972567434856978</v>
      </c>
      <c r="Q8" s="7">
        <v>0.35058799896411746</v>
      </c>
      <c r="R8" s="7">
        <v>7.9076130855291998E-2</v>
      </c>
      <c r="S8" s="7">
        <v>8.9814302356537173E-2</v>
      </c>
      <c r="U8" s="16"/>
    </row>
    <row r="9" spans="1:22" ht="15" thickBot="1" x14ac:dyDescent="0.4">
      <c r="A9" s="263"/>
      <c r="B9" s="11" t="s">
        <v>13</v>
      </c>
      <c r="C9" s="3">
        <v>70679109</v>
      </c>
      <c r="D9" s="3">
        <v>25797875</v>
      </c>
      <c r="E9" s="6">
        <v>0.30199999999999999</v>
      </c>
      <c r="F9" s="6">
        <v>0.32700000000000001</v>
      </c>
      <c r="G9" s="6">
        <v>0.17299999999999999</v>
      </c>
      <c r="H9" s="6">
        <v>0.10100000000000001</v>
      </c>
      <c r="I9" s="6">
        <v>9.7000000000000003E-2</v>
      </c>
      <c r="K9" s="263"/>
      <c r="L9" s="11" t="s">
        <v>13</v>
      </c>
      <c r="M9" s="3">
        <v>58221528.356336527</v>
      </c>
      <c r="N9" s="3">
        <v>21250857.210351352</v>
      </c>
      <c r="O9" s="6">
        <v>0.35248507018366987</v>
      </c>
      <c r="P9" s="6">
        <v>0.33062444297845989</v>
      </c>
      <c r="Q9" s="6">
        <v>0.18481834964276594</v>
      </c>
      <c r="R9" s="6">
        <v>8.4789601254072283E-2</v>
      </c>
      <c r="S9" s="6">
        <v>7.9657646721131417E-2</v>
      </c>
    </row>
    <row r="10" spans="1:22" ht="15" thickBot="1" x14ac:dyDescent="0.4">
      <c r="A10" s="263"/>
      <c r="B10" s="9"/>
      <c r="C10" s="17"/>
      <c r="D10" s="17"/>
      <c r="E10" s="5"/>
      <c r="F10" s="5"/>
      <c r="G10" s="5"/>
      <c r="H10" s="5"/>
      <c r="I10" s="5"/>
      <c r="K10" s="263"/>
    </row>
    <row r="11" spans="1:22" ht="15" thickBot="1" x14ac:dyDescent="0.4">
      <c r="A11" s="263"/>
      <c r="B11" s="10"/>
      <c r="C11" s="249" t="s">
        <v>14</v>
      </c>
      <c r="D11" s="250"/>
      <c r="E11" s="2" t="s">
        <v>6</v>
      </c>
      <c r="F11" s="2" t="s">
        <v>7</v>
      </c>
      <c r="G11" s="2" t="s">
        <v>8</v>
      </c>
      <c r="H11" s="2" t="s">
        <v>9</v>
      </c>
      <c r="I11" s="2" t="s">
        <v>10</v>
      </c>
      <c r="K11" s="263"/>
      <c r="L11" s="10"/>
      <c r="M11" s="249" t="s">
        <v>14</v>
      </c>
      <c r="N11" s="250"/>
      <c r="O11" s="2" t="s">
        <v>6</v>
      </c>
      <c r="P11" s="2" t="s">
        <v>7</v>
      </c>
      <c r="Q11" s="2" t="s">
        <v>8</v>
      </c>
      <c r="R11" s="2" t="s">
        <v>9</v>
      </c>
      <c r="S11" s="2" t="s">
        <v>10</v>
      </c>
    </row>
    <row r="12" spans="1:22" ht="29.5" thickBot="1" x14ac:dyDescent="0.4">
      <c r="A12" s="263"/>
      <c r="B12" s="11" t="s">
        <v>11</v>
      </c>
      <c r="C12" s="3">
        <v>5161491</v>
      </c>
      <c r="D12" s="3">
        <v>1883944</v>
      </c>
      <c r="E12" s="6">
        <v>0.28899999999999998</v>
      </c>
      <c r="F12" s="6">
        <v>0.42799999999999999</v>
      </c>
      <c r="G12" s="6">
        <v>0.1</v>
      </c>
      <c r="H12" s="6">
        <v>9.0999999999999998E-2</v>
      </c>
      <c r="I12" s="6">
        <v>9.0999999999999998E-2</v>
      </c>
      <c r="K12" s="263"/>
      <c r="L12" s="11" t="s">
        <v>11</v>
      </c>
      <c r="M12" s="3">
        <v>4639422.0952039966</v>
      </c>
      <c r="N12" s="3">
        <v>1693388.871496046</v>
      </c>
      <c r="O12" s="6">
        <v>0.35455642560316469</v>
      </c>
      <c r="P12" s="6">
        <v>0.40643847803881061</v>
      </c>
      <c r="Q12" s="6">
        <v>9.795222144933409E-2</v>
      </c>
      <c r="R12" s="6">
        <v>8.2749032191382341E-2</v>
      </c>
      <c r="S12" s="6">
        <v>7.2776887516869754E-2</v>
      </c>
      <c r="T12" s="6"/>
      <c r="U12" s="15"/>
      <c r="V12" s="15"/>
    </row>
    <row r="13" spans="1:22" ht="15" thickBot="1" x14ac:dyDescent="0.4">
      <c r="A13" s="263"/>
      <c r="B13" s="12" t="s">
        <v>12</v>
      </c>
      <c r="C13" s="4">
        <v>1166597</v>
      </c>
      <c r="D13" s="4">
        <v>425808</v>
      </c>
      <c r="E13" s="7">
        <v>0.28699999999999998</v>
      </c>
      <c r="F13" s="7">
        <v>0.23599999999999999</v>
      </c>
      <c r="G13" s="7">
        <v>0.26200000000000001</v>
      </c>
      <c r="H13" s="7">
        <v>0.10199999999999999</v>
      </c>
      <c r="I13" s="7">
        <v>0.113</v>
      </c>
      <c r="K13" s="263"/>
      <c r="L13" s="12" t="s">
        <v>12</v>
      </c>
      <c r="M13" s="4">
        <v>936189.95610197936</v>
      </c>
      <c r="N13" s="4">
        <v>341709.4102143856</v>
      </c>
      <c r="O13" s="7">
        <v>0.30980297352516062</v>
      </c>
      <c r="P13" s="7">
        <v>0.22758171233054567</v>
      </c>
      <c r="Q13" s="7">
        <v>0.24922060998399295</v>
      </c>
      <c r="R13" s="7">
        <v>0.10665838127204935</v>
      </c>
      <c r="S13" s="7">
        <v>0.10548535955077684</v>
      </c>
      <c r="U13" s="15"/>
      <c r="V13" s="15"/>
    </row>
    <row r="14" spans="1:22" ht="15" thickBot="1" x14ac:dyDescent="0.4">
      <c r="A14" s="263"/>
      <c r="B14" s="11" t="s">
        <v>13</v>
      </c>
      <c r="C14" s="3">
        <v>6328088</v>
      </c>
      <c r="D14" s="3">
        <v>2309752</v>
      </c>
      <c r="E14" s="6">
        <v>0.28899999999999998</v>
      </c>
      <c r="F14" s="6">
        <v>0.39300000000000002</v>
      </c>
      <c r="G14" s="6">
        <v>0.13</v>
      </c>
      <c r="H14" s="6">
        <v>9.2999999999999999E-2</v>
      </c>
      <c r="I14" s="6">
        <v>9.5000000000000001E-2</v>
      </c>
      <c r="K14" s="263"/>
      <c r="L14" s="11" t="s">
        <v>13</v>
      </c>
      <c r="M14" s="3">
        <v>5575612.0513059758</v>
      </c>
      <c r="N14" s="3">
        <v>2035098.2817104314</v>
      </c>
      <c r="O14" s="6">
        <v>0.34952776548586462</v>
      </c>
      <c r="P14" s="6">
        <v>0.37811621683016</v>
      </c>
      <c r="Q14" s="6">
        <v>0.12532811544679684</v>
      </c>
      <c r="R14" s="6">
        <v>8.7523536468352842E-2</v>
      </c>
      <c r="S14" s="6">
        <v>7.8686267230604942E-2</v>
      </c>
      <c r="U14" s="15"/>
      <c r="V14" s="15"/>
    </row>
    <row r="15" spans="1:22" ht="15" thickBot="1" x14ac:dyDescent="0.4">
      <c r="A15" s="263"/>
      <c r="B15" s="9"/>
      <c r="C15" s="17"/>
      <c r="D15" s="17"/>
      <c r="E15" s="5"/>
      <c r="F15" s="5"/>
      <c r="G15" s="5"/>
      <c r="H15" s="5"/>
      <c r="I15" s="5"/>
      <c r="K15" s="263"/>
    </row>
    <row r="16" spans="1:22" ht="15" thickBot="1" x14ac:dyDescent="0.4">
      <c r="A16" s="263"/>
      <c r="B16" s="10"/>
      <c r="C16" s="249" t="s">
        <v>13</v>
      </c>
      <c r="D16" s="250"/>
      <c r="E16" s="2" t="s">
        <v>6</v>
      </c>
      <c r="F16" s="2" t="s">
        <v>7</v>
      </c>
      <c r="G16" s="2" t="s">
        <v>8</v>
      </c>
      <c r="H16" s="2" t="s">
        <v>9</v>
      </c>
      <c r="I16" s="2" t="s">
        <v>10</v>
      </c>
      <c r="K16" s="263"/>
      <c r="L16" s="10"/>
      <c r="M16" s="249" t="s">
        <v>13</v>
      </c>
      <c r="N16" s="250"/>
      <c r="O16" s="2" t="s">
        <v>6</v>
      </c>
      <c r="P16" s="2" t="s">
        <v>7</v>
      </c>
      <c r="Q16" s="2" t="s">
        <v>8</v>
      </c>
      <c r="R16" s="2" t="s">
        <v>9</v>
      </c>
      <c r="S16" s="2" t="s">
        <v>10</v>
      </c>
    </row>
    <row r="17" spans="1:22" ht="29.5" thickBot="1" x14ac:dyDescent="0.4">
      <c r="A17" s="263"/>
      <c r="B17" s="11" t="s">
        <v>11</v>
      </c>
      <c r="C17" s="3">
        <v>55137372</v>
      </c>
      <c r="D17" s="3">
        <v>20125141</v>
      </c>
      <c r="E17" s="6">
        <v>0.31</v>
      </c>
      <c r="F17" s="6">
        <v>0.374</v>
      </c>
      <c r="G17" s="6">
        <v>0.123</v>
      </c>
      <c r="H17" s="6">
        <v>0.104</v>
      </c>
      <c r="I17" s="6">
        <v>8.8999999999999996E-2</v>
      </c>
      <c r="K17" s="263"/>
      <c r="L17" s="11" t="s">
        <v>11</v>
      </c>
      <c r="M17" s="3">
        <v>46092415.234629378</v>
      </c>
      <c r="N17" s="3">
        <v>16823731.201494306</v>
      </c>
      <c r="O17" s="6">
        <v>0.37980875683594284</v>
      </c>
      <c r="P17" s="6">
        <v>0.38141333889620527</v>
      </c>
      <c r="Q17" s="6">
        <v>0.11691782848905083</v>
      </c>
      <c r="R17" s="6">
        <v>8.6905571216221431E-2</v>
      </c>
      <c r="S17" s="6">
        <v>7.5580135462478701E-2</v>
      </c>
    </row>
    <row r="18" spans="1:22" ht="15" thickBot="1" x14ac:dyDescent="0.4">
      <c r="A18" s="263"/>
      <c r="B18" s="12" t="s">
        <v>12</v>
      </c>
      <c r="C18" s="4">
        <v>21869826</v>
      </c>
      <c r="D18" s="4">
        <v>7982486</v>
      </c>
      <c r="E18" s="7">
        <v>0.27900000000000003</v>
      </c>
      <c r="F18" s="7">
        <v>0.22600000000000001</v>
      </c>
      <c r="G18" s="7">
        <v>0.28699999999999998</v>
      </c>
      <c r="H18" s="7">
        <v>9.1999999999999998E-2</v>
      </c>
      <c r="I18" s="7">
        <v>0.11600000000000001</v>
      </c>
      <c r="K18" s="263"/>
      <c r="L18" s="12" t="s">
        <v>12</v>
      </c>
      <c r="M18" s="4">
        <v>17704725.173013125</v>
      </c>
      <c r="N18" s="4">
        <v>6462224.2905674782</v>
      </c>
      <c r="O18" s="7">
        <v>0.28391914525448808</v>
      </c>
      <c r="P18" s="7">
        <v>0.21016056498433497</v>
      </c>
      <c r="Q18" s="7">
        <v>0.3448446898218181</v>
      </c>
      <c r="R18" s="7">
        <v>8.2347302408497983E-2</v>
      </c>
      <c r="S18" s="7">
        <v>8.9801029936487628E-2</v>
      </c>
      <c r="U18" s="15"/>
      <c r="V18" s="15"/>
    </row>
    <row r="19" spans="1:22" ht="15" thickBot="1" x14ac:dyDescent="0.4">
      <c r="A19" s="263"/>
      <c r="B19" s="11" t="s">
        <v>13</v>
      </c>
      <c r="C19" s="3">
        <v>77007197</v>
      </c>
      <c r="D19" s="3">
        <v>28107627</v>
      </c>
      <c r="E19" s="6">
        <v>0.30099999999999999</v>
      </c>
      <c r="F19" s="6">
        <v>0.33200000000000002</v>
      </c>
      <c r="G19" s="6">
        <v>0.17</v>
      </c>
      <c r="H19" s="6">
        <v>0.1</v>
      </c>
      <c r="I19" s="6">
        <v>9.7000000000000003E-2</v>
      </c>
      <c r="K19" s="263"/>
      <c r="L19" s="11" t="s">
        <v>13</v>
      </c>
      <c r="M19" s="3">
        <v>63797140.407642499</v>
      </c>
      <c r="N19" s="3">
        <v>23285955.492061786</v>
      </c>
      <c r="O19" s="6">
        <v>0.35283849951167695</v>
      </c>
      <c r="P19" s="6">
        <v>0.33418958590658154</v>
      </c>
      <c r="Q19" s="6">
        <v>0.17996037520877187</v>
      </c>
      <c r="R19" s="6">
        <v>8.5146444751379058E-2</v>
      </c>
      <c r="S19" s="6">
        <v>7.9547913252405289E-2</v>
      </c>
      <c r="U19" s="15"/>
      <c r="V19" s="15"/>
    </row>
    <row r="20" spans="1:22" ht="15" thickBot="1" x14ac:dyDescent="0.4">
      <c r="A20" s="263"/>
      <c r="C20" s="17"/>
      <c r="D20" s="17"/>
      <c r="K20" s="263"/>
      <c r="U20" s="15"/>
      <c r="V20" s="15"/>
    </row>
    <row r="22" spans="1:22" x14ac:dyDescent="0.35">
      <c r="C22" s="81"/>
    </row>
  </sheetData>
  <mergeCells count="15">
    <mergeCell ref="L1:S1"/>
    <mergeCell ref="A4:A20"/>
    <mergeCell ref="K4:K20"/>
    <mergeCell ref="C16:D16"/>
    <mergeCell ref="B4:B5"/>
    <mergeCell ref="C4:C5"/>
    <mergeCell ref="E4:I5"/>
    <mergeCell ref="C6:D6"/>
    <mergeCell ref="C11:D11"/>
    <mergeCell ref="M16:N16"/>
    <mergeCell ref="L4:L5"/>
    <mergeCell ref="M4:M5"/>
    <mergeCell ref="O4:S5"/>
    <mergeCell ref="M6:N6"/>
    <mergeCell ref="M11:N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F7A9-F9D8-4EA5-B768-16266F689341}">
  <dimension ref="A1:AG200"/>
  <sheetViews>
    <sheetView topLeftCell="V1" zoomScaleNormal="100" workbookViewId="0">
      <selection activeCell="AL5" sqref="AL5"/>
    </sheetView>
  </sheetViews>
  <sheetFormatPr baseColWidth="10" defaultColWidth="10.90625" defaultRowHeight="13" x14ac:dyDescent="0.3"/>
  <cols>
    <col min="1" max="2" width="7" style="30" customWidth="1"/>
    <col min="3" max="3" width="19" style="30" bestFit="1" customWidth="1"/>
    <col min="4" max="25" width="8.90625" style="30" customWidth="1"/>
    <col min="26" max="28" width="9.90625" style="55" customWidth="1"/>
    <col min="29" max="29" width="8.90625" style="30" customWidth="1"/>
    <col min="30" max="32" width="9.90625" style="55" customWidth="1"/>
    <col min="33" max="33" width="8.90625" style="30" customWidth="1"/>
    <col min="34" max="16384" width="10.90625" style="30"/>
  </cols>
  <sheetData>
    <row r="1" spans="1:33" ht="50" x14ac:dyDescent="0.3">
      <c r="A1" s="19" t="s">
        <v>19</v>
      </c>
      <c r="B1" s="19" t="s">
        <v>20</v>
      </c>
      <c r="C1" s="19" t="s">
        <v>21</v>
      </c>
      <c r="D1" s="20" t="s">
        <v>22</v>
      </c>
      <c r="E1" s="20" t="s">
        <v>23</v>
      </c>
      <c r="F1" s="20" t="s">
        <v>24</v>
      </c>
      <c r="G1" s="21" t="s">
        <v>25</v>
      </c>
      <c r="H1" s="21" t="s">
        <v>26</v>
      </c>
      <c r="I1" s="21" t="s">
        <v>27</v>
      </c>
      <c r="J1" s="22" t="s">
        <v>28</v>
      </c>
      <c r="K1" s="22" t="s">
        <v>29</v>
      </c>
      <c r="L1" s="22" t="s">
        <v>30</v>
      </c>
      <c r="M1" s="23" t="s">
        <v>31</v>
      </c>
      <c r="N1" s="23" t="s">
        <v>32</v>
      </c>
      <c r="O1" s="23" t="s">
        <v>33</v>
      </c>
      <c r="P1" s="24" t="s">
        <v>34</v>
      </c>
      <c r="Q1" s="24" t="s">
        <v>35</v>
      </c>
      <c r="R1" s="24" t="s">
        <v>36</v>
      </c>
      <c r="S1" s="25" t="s">
        <v>37</v>
      </c>
      <c r="T1" s="25" t="s">
        <v>38</v>
      </c>
      <c r="U1" s="25" t="s">
        <v>39</v>
      </c>
      <c r="V1" s="26" t="s">
        <v>40</v>
      </c>
      <c r="W1" s="26" t="s">
        <v>41</v>
      </c>
      <c r="X1" s="26" t="s">
        <v>42</v>
      </c>
      <c r="Y1" s="27" t="s">
        <v>43</v>
      </c>
      <c r="Z1" s="28" t="s">
        <v>44</v>
      </c>
      <c r="AA1" s="28" t="s">
        <v>45</v>
      </c>
      <c r="AB1" s="28" t="s">
        <v>46</v>
      </c>
      <c r="AC1" s="27" t="s">
        <v>47</v>
      </c>
      <c r="AD1" s="29" t="s">
        <v>48</v>
      </c>
      <c r="AE1" s="29" t="s">
        <v>49</v>
      </c>
      <c r="AF1" s="29" t="s">
        <v>50</v>
      </c>
      <c r="AG1" s="27" t="s">
        <v>51</v>
      </c>
    </row>
    <row r="2" spans="1:33" x14ac:dyDescent="0.3">
      <c r="A2" s="31" t="s">
        <v>52</v>
      </c>
      <c r="B2" s="31">
        <v>8001</v>
      </c>
      <c r="C2" s="32" t="s">
        <v>53</v>
      </c>
      <c r="D2" s="33">
        <v>1025.0721101134245</v>
      </c>
      <c r="E2" s="33">
        <v>5583.128097315036</v>
      </c>
      <c r="F2" s="33">
        <v>6608.200207428461</v>
      </c>
      <c r="G2" s="33">
        <v>1128.5399509819604</v>
      </c>
      <c r="H2" s="33">
        <v>5554.6541440187293</v>
      </c>
      <c r="I2" s="33">
        <v>6683.1940950006901</v>
      </c>
      <c r="J2" s="33">
        <v>1152.8558942421676</v>
      </c>
      <c r="K2" s="33">
        <v>5374.6833497525222</v>
      </c>
      <c r="L2" s="34">
        <v>6527.53924399469</v>
      </c>
      <c r="M2" s="33">
        <v>1147.6524825157035</v>
      </c>
      <c r="N2" s="33">
        <v>5318.2491745801208</v>
      </c>
      <c r="O2" s="34">
        <v>6465.9016570958247</v>
      </c>
      <c r="P2" s="33">
        <v>1187.7787921755514</v>
      </c>
      <c r="Q2" s="33">
        <v>5033.3607784764081</v>
      </c>
      <c r="R2" s="34">
        <v>6221.1395706519597</v>
      </c>
      <c r="S2" s="33">
        <v>1190.8028337637816</v>
      </c>
      <c r="T2" s="33">
        <v>4995.5556993434402</v>
      </c>
      <c r="U2" s="34">
        <v>6186.3585331072218</v>
      </c>
      <c r="V2" s="33">
        <v>1196.0343372557684</v>
      </c>
      <c r="W2" s="33">
        <v>5227.01177532569</v>
      </c>
      <c r="X2" s="34">
        <v>6423.0461125814581</v>
      </c>
      <c r="Y2" s="35">
        <f>+X2/U2-1</f>
        <v>3.8259596207941726E-2</v>
      </c>
      <c r="Z2" s="33">
        <v>1213.1211581205871</v>
      </c>
      <c r="AA2" s="33">
        <v>5398.7514086226383</v>
      </c>
      <c r="AB2" s="34">
        <f>Z2+AA2</f>
        <v>6611.8725667432254</v>
      </c>
      <c r="AC2" s="35">
        <f>+AB2/X2-1</f>
        <v>2.9398271606970727E-2</v>
      </c>
      <c r="AD2" s="33">
        <v>1229.6677522612106</v>
      </c>
      <c r="AE2" s="33">
        <v>5560.4327641931477</v>
      </c>
      <c r="AF2" s="34">
        <f>AD2+AE2</f>
        <v>6790.1005164543585</v>
      </c>
      <c r="AG2" s="35">
        <f t="shared" ref="AG2:AG66" si="0">+AF2/AB2-1</f>
        <v>2.6955744822971139E-2</v>
      </c>
    </row>
    <row r="3" spans="1:33" x14ac:dyDescent="0.3">
      <c r="A3" s="31" t="s">
        <v>54</v>
      </c>
      <c r="B3" s="31">
        <v>8003</v>
      </c>
      <c r="C3" s="32" t="s">
        <v>55</v>
      </c>
      <c r="D3" s="33">
        <v>1128.4339180457596</v>
      </c>
      <c r="E3" s="33">
        <v>2849.5491382961723</v>
      </c>
      <c r="F3" s="33">
        <v>3977.9830563419318</v>
      </c>
      <c r="G3" s="33">
        <v>1159.358491190917</v>
      </c>
      <c r="H3" s="33">
        <v>2835.0164376908619</v>
      </c>
      <c r="I3" s="33">
        <v>3994.3749288817789</v>
      </c>
      <c r="J3" s="33">
        <v>1176.5109872268947</v>
      </c>
      <c r="K3" s="33">
        <v>2743.1619051096782</v>
      </c>
      <c r="L3" s="34">
        <v>3919.6728923365727</v>
      </c>
      <c r="M3" s="33">
        <v>1196.543099385701</v>
      </c>
      <c r="N3" s="33">
        <v>2714.3587051060267</v>
      </c>
      <c r="O3" s="34">
        <v>3910.9018044917275</v>
      </c>
      <c r="P3" s="33">
        <v>1203.1787365383054</v>
      </c>
      <c r="Q3" s="33">
        <v>2568.9557214241163</v>
      </c>
      <c r="R3" s="34">
        <v>3772.1344579624219</v>
      </c>
      <c r="S3" s="33">
        <v>1210.0284298797369</v>
      </c>
      <c r="T3" s="33">
        <v>2549.6605469647707</v>
      </c>
      <c r="U3" s="34">
        <v>3759.6889768445076</v>
      </c>
      <c r="V3" s="33">
        <v>1215.6049139525833</v>
      </c>
      <c r="W3" s="33">
        <v>2667.7924347475018</v>
      </c>
      <c r="X3" s="34">
        <v>3883.3973487000849</v>
      </c>
      <c r="Y3" s="35">
        <f t="shared" ref="Y3:Y66" si="1">+X3/U3-1</f>
        <v>3.2903884501479519E-2</v>
      </c>
      <c r="Z3" s="33">
        <v>1224.6275945693953</v>
      </c>
      <c r="AA3" s="33">
        <v>2755.4458998915252</v>
      </c>
      <c r="AB3" s="34">
        <f t="shared" ref="AB3:AB66" si="2">Z3+AA3</f>
        <v>3980.0734944609203</v>
      </c>
      <c r="AC3" s="35">
        <f t="shared" ref="AC3:AC66" si="3">+AB3/X3-1</f>
        <v>2.489473445028656E-2</v>
      </c>
      <c r="AD3" s="33">
        <v>1236.1001840663807</v>
      </c>
      <c r="AE3" s="33">
        <v>2837.9657632036469</v>
      </c>
      <c r="AF3" s="34">
        <f t="shared" ref="AF3:AF66" si="4">AD3+AE3</f>
        <v>4074.0659472700277</v>
      </c>
      <c r="AG3" s="35">
        <f t="shared" si="0"/>
        <v>2.3615758085853589E-2</v>
      </c>
    </row>
    <row r="4" spans="1:33" x14ac:dyDescent="0.3">
      <c r="A4" s="31" t="s">
        <v>56</v>
      </c>
      <c r="B4" s="31">
        <v>8005</v>
      </c>
      <c r="C4" s="32" t="s">
        <v>57</v>
      </c>
      <c r="D4" s="33">
        <v>5542.3171373646401</v>
      </c>
      <c r="E4" s="33">
        <v>9583.6612232540392</v>
      </c>
      <c r="F4" s="33">
        <v>15125.978360618679</v>
      </c>
      <c r="G4" s="33">
        <v>5748.0250635751936</v>
      </c>
      <c r="H4" s="33">
        <v>9534.7845510154439</v>
      </c>
      <c r="I4" s="33">
        <v>15282.809614590638</v>
      </c>
      <c r="J4" s="33">
        <v>5860.8326360132396</v>
      </c>
      <c r="K4" s="33">
        <v>9225.857531562544</v>
      </c>
      <c r="L4" s="34">
        <v>15086.690167575784</v>
      </c>
      <c r="M4" s="33">
        <v>5981.0132524014853</v>
      </c>
      <c r="N4" s="33">
        <v>9128.9860274811381</v>
      </c>
      <c r="O4" s="34">
        <v>15109.999279882624</v>
      </c>
      <c r="P4" s="33">
        <v>6038.5229952130376</v>
      </c>
      <c r="Q4" s="33">
        <v>8639.9637755992226</v>
      </c>
      <c r="R4" s="34">
        <v>14678.48677081226</v>
      </c>
      <c r="S4" s="33">
        <v>6169.5984965553998</v>
      </c>
      <c r="T4" s="33">
        <v>8575.0698550920224</v>
      </c>
      <c r="U4" s="34">
        <v>14744.668351647422</v>
      </c>
      <c r="V4" s="33">
        <v>6217.8012263731462</v>
      </c>
      <c r="W4" s="33">
        <v>8972.3734063654338</v>
      </c>
      <c r="X4" s="34">
        <v>15190.174632738581</v>
      </c>
      <c r="Y4" s="35">
        <f t="shared" si="1"/>
        <v>3.0214737318346119E-2</v>
      </c>
      <c r="Z4" s="33">
        <v>6317.2731131358578</v>
      </c>
      <c r="AA4" s="33">
        <v>9267.1713109514585</v>
      </c>
      <c r="AB4" s="34">
        <f t="shared" si="2"/>
        <v>15584.444424087316</v>
      </c>
      <c r="AC4" s="35">
        <f t="shared" si="3"/>
        <v>2.5955579898270909E-2</v>
      </c>
      <c r="AD4" s="33">
        <v>6376.8882344568101</v>
      </c>
      <c r="AE4" s="33">
        <v>9544.7037821568756</v>
      </c>
      <c r="AF4" s="34">
        <f t="shared" si="4"/>
        <v>15921.592016613686</v>
      </c>
      <c r="AG4" s="35">
        <f t="shared" si="0"/>
        <v>2.1633597153150719E-2</v>
      </c>
    </row>
    <row r="5" spans="1:33" x14ac:dyDescent="0.3">
      <c r="A5" s="31" t="s">
        <v>58</v>
      </c>
      <c r="B5" s="31">
        <v>8006</v>
      </c>
      <c r="C5" s="32" t="s">
        <v>59</v>
      </c>
      <c r="D5" s="33">
        <v>1688.8264847355724</v>
      </c>
      <c r="E5" s="33">
        <v>3185.2743486531758</v>
      </c>
      <c r="F5" s="33">
        <v>4874.1008333887485</v>
      </c>
      <c r="G5" s="33">
        <v>1740.9998485976232</v>
      </c>
      <c r="H5" s="33">
        <v>3169.0294494750447</v>
      </c>
      <c r="I5" s="33">
        <v>4910.0292980726681</v>
      </c>
      <c r="J5" s="33">
        <v>1762.4475593769419</v>
      </c>
      <c r="K5" s="33">
        <v>3066.3528953120531</v>
      </c>
      <c r="L5" s="34">
        <v>4828.8004546889952</v>
      </c>
      <c r="M5" s="33">
        <v>1769.7976175653598</v>
      </c>
      <c r="N5" s="33">
        <v>3034.1561899112767</v>
      </c>
      <c r="O5" s="34">
        <v>4803.9538074766369</v>
      </c>
      <c r="P5" s="33">
        <v>1811.0061405233766</v>
      </c>
      <c r="Q5" s="33">
        <v>2871.6222690480781</v>
      </c>
      <c r="R5" s="34">
        <v>4682.6284095714545</v>
      </c>
      <c r="S5" s="33">
        <v>1803.6265923815527</v>
      </c>
      <c r="T5" s="33">
        <v>2850.0537958351929</v>
      </c>
      <c r="U5" s="34">
        <v>4653.680388216746</v>
      </c>
      <c r="V5" s="33">
        <v>1821.3470651207294</v>
      </c>
      <c r="W5" s="33">
        <v>2982.1036232465913</v>
      </c>
      <c r="X5" s="34">
        <v>4803.4506883673203</v>
      </c>
      <c r="Y5" s="35">
        <f t="shared" si="1"/>
        <v>3.2183194301395712E-2</v>
      </c>
      <c r="Z5" s="33">
        <v>1841.7851978640754</v>
      </c>
      <c r="AA5" s="33">
        <v>3080.0841529877857</v>
      </c>
      <c r="AB5" s="34">
        <f t="shared" si="2"/>
        <v>4921.8693508518609</v>
      </c>
      <c r="AC5" s="35">
        <f t="shared" si="3"/>
        <v>2.465283192587342E-2</v>
      </c>
      <c r="AD5" s="33">
        <v>1870.9447993384654</v>
      </c>
      <c r="AE5" s="33">
        <v>3172.3262555470815</v>
      </c>
      <c r="AF5" s="34">
        <f t="shared" si="4"/>
        <v>5043.2710548855466</v>
      </c>
      <c r="AG5" s="35">
        <f t="shared" si="0"/>
        <v>2.4665771352235133E-2</v>
      </c>
    </row>
    <row r="6" spans="1:33" x14ac:dyDescent="0.3">
      <c r="A6" s="31" t="s">
        <v>60</v>
      </c>
      <c r="B6" s="31">
        <v>8007</v>
      </c>
      <c r="C6" s="32" t="s">
        <v>61</v>
      </c>
      <c r="D6" s="33">
        <v>1630.8795499101661</v>
      </c>
      <c r="E6" s="33">
        <v>3008.9447786251626</v>
      </c>
      <c r="F6" s="33">
        <v>4639.8243285353292</v>
      </c>
      <c r="G6" s="33">
        <v>1694.6699428738846</v>
      </c>
      <c r="H6" s="33">
        <v>2993.5991602541744</v>
      </c>
      <c r="I6" s="33">
        <v>4688.2691031280592</v>
      </c>
      <c r="J6" s="33">
        <v>1729.9447628240205</v>
      </c>
      <c r="K6" s="33">
        <v>2896.606547461939</v>
      </c>
      <c r="L6" s="34">
        <v>4626.5513102859595</v>
      </c>
      <c r="M6" s="33">
        <v>1760.5726005052759</v>
      </c>
      <c r="N6" s="33">
        <v>2866.1921787135889</v>
      </c>
      <c r="O6" s="34">
        <v>4626.7647792188645</v>
      </c>
      <c r="P6" s="33">
        <v>1801.7617615248955</v>
      </c>
      <c r="Q6" s="33">
        <v>2712.6557674033406</v>
      </c>
      <c r="R6" s="34">
        <v>4514.4175289282357</v>
      </c>
      <c r="S6" s="33">
        <v>1809.6948190666926</v>
      </c>
      <c r="T6" s="33">
        <v>2692.2812759928065</v>
      </c>
      <c r="U6" s="34">
        <v>4501.9760950594991</v>
      </c>
      <c r="V6" s="33">
        <v>1814.7928076471212</v>
      </c>
      <c r="W6" s="33">
        <v>2817.0211241870079</v>
      </c>
      <c r="X6" s="34">
        <v>4631.8139318341291</v>
      </c>
      <c r="Y6" s="35">
        <f t="shared" si="1"/>
        <v>2.8840187960374797E-2</v>
      </c>
      <c r="Z6" s="33">
        <v>1845.0931463756906</v>
      </c>
      <c r="AA6" s="33">
        <v>2909.5776738281247</v>
      </c>
      <c r="AB6" s="34">
        <f t="shared" si="2"/>
        <v>4754.6708202038153</v>
      </c>
      <c r="AC6" s="35">
        <f t="shared" si="3"/>
        <v>2.65245733481001E-2</v>
      </c>
      <c r="AD6" s="33">
        <v>1880.289088690557</v>
      </c>
      <c r="AE6" s="33">
        <v>2996.7134626127095</v>
      </c>
      <c r="AF6" s="34">
        <f t="shared" si="4"/>
        <v>4877.002551303267</v>
      </c>
      <c r="AG6" s="35">
        <f t="shared" si="0"/>
        <v>2.5728748787325673E-2</v>
      </c>
    </row>
    <row r="7" spans="1:33" x14ac:dyDescent="0.3">
      <c r="A7" s="31" t="s">
        <v>62</v>
      </c>
      <c r="B7" s="31">
        <v>8009</v>
      </c>
      <c r="C7" s="32" t="s">
        <v>63</v>
      </c>
      <c r="D7" s="33">
        <v>1847.2817251649822</v>
      </c>
      <c r="E7" s="33">
        <v>5534.3504622146393</v>
      </c>
      <c r="F7" s="33">
        <v>7381.6321873796214</v>
      </c>
      <c r="G7" s="33">
        <v>1910.6728998570518</v>
      </c>
      <c r="H7" s="33">
        <v>5506.1252748573443</v>
      </c>
      <c r="I7" s="33">
        <v>7416.7981747143958</v>
      </c>
      <c r="J7" s="33">
        <v>1925.4034861431983</v>
      </c>
      <c r="K7" s="33">
        <v>5327.7268159519663</v>
      </c>
      <c r="L7" s="34">
        <v>7253.1303020951646</v>
      </c>
      <c r="M7" s="33">
        <v>1939.4720236074959</v>
      </c>
      <c r="N7" s="33">
        <v>5271.7856843844711</v>
      </c>
      <c r="O7" s="34">
        <v>7211.2577079919665</v>
      </c>
      <c r="P7" s="33">
        <v>1971.9124158781112</v>
      </c>
      <c r="Q7" s="33">
        <v>4989.3862482306768</v>
      </c>
      <c r="R7" s="34">
        <v>6961.2986641087882</v>
      </c>
      <c r="S7" s="33">
        <v>1984.5278406959906</v>
      </c>
      <c r="T7" s="33">
        <v>4951.9114574813439</v>
      </c>
      <c r="U7" s="34">
        <v>6936.4392981773344</v>
      </c>
      <c r="V7" s="33">
        <v>1999.9145689211812</v>
      </c>
      <c r="W7" s="33">
        <v>5181.3453910697153</v>
      </c>
      <c r="X7" s="34">
        <v>7181.2599599908963</v>
      </c>
      <c r="Y7" s="35">
        <f t="shared" si="1"/>
        <v>3.5294861136879296E-2</v>
      </c>
      <c r="Z7" s="33">
        <v>2021.7359389433955</v>
      </c>
      <c r="AA7" s="33">
        <v>5351.5846014819981</v>
      </c>
      <c r="AB7" s="34">
        <f t="shared" si="2"/>
        <v>7373.3205404253931</v>
      </c>
      <c r="AC7" s="35">
        <f t="shared" si="3"/>
        <v>2.6744691252583497E-2</v>
      </c>
      <c r="AD7" s="33">
        <v>2053.3997290314546</v>
      </c>
      <c r="AE7" s="33">
        <v>5511.8534094578454</v>
      </c>
      <c r="AF7" s="34">
        <f t="shared" si="4"/>
        <v>7565.2531384893</v>
      </c>
      <c r="AG7" s="35">
        <f t="shared" si="0"/>
        <v>2.6030686854261464E-2</v>
      </c>
    </row>
    <row r="8" spans="1:33" x14ac:dyDescent="0.3">
      <c r="A8" s="31" t="s">
        <v>64</v>
      </c>
      <c r="B8" s="31">
        <v>8013</v>
      </c>
      <c r="C8" s="32" t="s">
        <v>65</v>
      </c>
      <c r="D8" s="33">
        <v>199.69137285079188</v>
      </c>
      <c r="E8" s="33">
        <v>553.36970509145567</v>
      </c>
      <c r="F8" s="33">
        <v>753.06107794224749</v>
      </c>
      <c r="G8" s="33">
        <v>208.35177808442143</v>
      </c>
      <c r="H8" s="33">
        <v>550.54751959548923</v>
      </c>
      <c r="I8" s="33">
        <v>758.89929767991066</v>
      </c>
      <c r="J8" s="33">
        <v>212.11717166426035</v>
      </c>
      <c r="K8" s="33">
        <v>532.70977996059537</v>
      </c>
      <c r="L8" s="34">
        <v>744.82695162485572</v>
      </c>
      <c r="M8" s="33">
        <v>211.48960606762051</v>
      </c>
      <c r="N8" s="33">
        <v>527.11632727100914</v>
      </c>
      <c r="O8" s="34">
        <v>738.60593333862971</v>
      </c>
      <c r="P8" s="33">
        <v>215.3805127667874</v>
      </c>
      <c r="Q8" s="33">
        <v>498.87971779545302</v>
      </c>
      <c r="R8" s="34">
        <v>714.26023056224039</v>
      </c>
      <c r="S8" s="33">
        <v>216.29958488617427</v>
      </c>
      <c r="T8" s="33">
        <v>495.1326811654265</v>
      </c>
      <c r="U8" s="34">
        <v>711.43226605160078</v>
      </c>
      <c r="V8" s="33">
        <v>218.61209582511492</v>
      </c>
      <c r="W8" s="33">
        <v>518.07336571993596</v>
      </c>
      <c r="X8" s="34">
        <v>736.68546154505088</v>
      </c>
      <c r="Y8" s="35">
        <f t="shared" si="1"/>
        <v>3.5496275188084514E-2</v>
      </c>
      <c r="Z8" s="33">
        <v>223.87382531545009</v>
      </c>
      <c r="AA8" s="33">
        <v>535.09527683742408</v>
      </c>
      <c r="AB8" s="34">
        <f t="shared" si="2"/>
        <v>758.96910215287414</v>
      </c>
      <c r="AC8" s="35">
        <f t="shared" si="3"/>
        <v>3.0248514150242212E-2</v>
      </c>
      <c r="AD8" s="33">
        <v>227.11393118969559</v>
      </c>
      <c r="AE8" s="33">
        <v>551.12026542650312</v>
      </c>
      <c r="AF8" s="34">
        <f t="shared" si="4"/>
        <v>778.23419661619869</v>
      </c>
      <c r="AG8" s="35">
        <f t="shared" si="0"/>
        <v>2.5383239460839313E-2</v>
      </c>
    </row>
    <row r="9" spans="1:33" x14ac:dyDescent="0.3">
      <c r="A9" s="31" t="s">
        <v>66</v>
      </c>
      <c r="B9" s="31">
        <v>8014</v>
      </c>
      <c r="C9" s="32" t="s">
        <v>67</v>
      </c>
      <c r="D9" s="33">
        <v>329.19161824023325</v>
      </c>
      <c r="E9" s="33">
        <v>706.32169961376064</v>
      </c>
      <c r="F9" s="33">
        <v>1035.5133178539938</v>
      </c>
      <c r="G9" s="33">
        <v>336.82142818680421</v>
      </c>
      <c r="H9" s="33">
        <v>702.71945894573048</v>
      </c>
      <c r="I9" s="33">
        <v>1039.5408871325346</v>
      </c>
      <c r="J9" s="33">
        <v>341.81548560637788</v>
      </c>
      <c r="K9" s="33">
        <v>679.95134847588884</v>
      </c>
      <c r="L9" s="34">
        <v>1021.7668340822668</v>
      </c>
      <c r="M9" s="33">
        <v>347.50316211200351</v>
      </c>
      <c r="N9" s="33">
        <v>672.81185931689208</v>
      </c>
      <c r="O9" s="34">
        <v>1020.3150214288955</v>
      </c>
      <c r="P9" s="33">
        <v>343.75761904732326</v>
      </c>
      <c r="Q9" s="33">
        <v>636.77061995629379</v>
      </c>
      <c r="R9" s="34">
        <v>980.52823900361705</v>
      </c>
      <c r="S9" s="33">
        <v>340.9036101843667</v>
      </c>
      <c r="T9" s="33">
        <v>631.98789828453562</v>
      </c>
      <c r="U9" s="34">
        <v>972.89150846890232</v>
      </c>
      <c r="V9" s="33">
        <v>342.08685108543233</v>
      </c>
      <c r="W9" s="33">
        <v>661.26941325682037</v>
      </c>
      <c r="X9" s="34">
        <v>1003.3562643422526</v>
      </c>
      <c r="Y9" s="35">
        <f t="shared" si="1"/>
        <v>3.1313620900335071E-2</v>
      </c>
      <c r="Z9" s="33">
        <v>347.51442599137397</v>
      </c>
      <c r="AA9" s="33">
        <v>682.99619931062421</v>
      </c>
      <c r="AB9" s="34">
        <f t="shared" si="2"/>
        <v>1030.5106253019981</v>
      </c>
      <c r="AC9" s="35">
        <f t="shared" si="3"/>
        <v>2.7063528603717302E-2</v>
      </c>
      <c r="AD9" s="33">
        <v>351.89151505789732</v>
      </c>
      <c r="AE9" s="33">
        <v>703.45051235376184</v>
      </c>
      <c r="AF9" s="34">
        <f t="shared" si="4"/>
        <v>1055.3420274116593</v>
      </c>
      <c r="AG9" s="35">
        <f t="shared" si="0"/>
        <v>2.4096211625556307E-2</v>
      </c>
    </row>
    <row r="10" spans="1:33" x14ac:dyDescent="0.3">
      <c r="A10" s="36" t="s">
        <v>68</v>
      </c>
      <c r="B10" s="36">
        <v>8015</v>
      </c>
      <c r="C10" s="37" t="s">
        <v>69</v>
      </c>
      <c r="D10" s="38">
        <v>102877.12648229468</v>
      </c>
      <c r="E10" s="38">
        <v>161022.67199697852</v>
      </c>
      <c r="F10" s="38">
        <v>263899.79847927322</v>
      </c>
      <c r="G10" s="38">
        <v>100001.93557379032</v>
      </c>
      <c r="H10" s="38">
        <v>160201.45636979392</v>
      </c>
      <c r="I10" s="38">
        <v>260203.39194358425</v>
      </c>
      <c r="J10" s="38">
        <v>101960.83643828257</v>
      </c>
      <c r="K10" s="38">
        <v>155010.92918341261</v>
      </c>
      <c r="L10" s="39">
        <v>256971.76562169517</v>
      </c>
      <c r="M10" s="38">
        <v>101653.85837488064</v>
      </c>
      <c r="N10" s="38">
        <v>153383.31442698679</v>
      </c>
      <c r="O10" s="39">
        <v>255037.17280186742</v>
      </c>
      <c r="P10" s="38">
        <v>102624.94934397814</v>
      </c>
      <c r="Q10" s="38">
        <v>145166.86480197919</v>
      </c>
      <c r="R10" s="39">
        <v>247791.81414595732</v>
      </c>
      <c r="S10" s="38">
        <v>101724.94224730972</v>
      </c>
      <c r="T10" s="38">
        <v>144076.53071847942</v>
      </c>
      <c r="U10" s="39">
        <v>245801.47296578914</v>
      </c>
      <c r="V10" s="38">
        <v>102116.02265682307</v>
      </c>
      <c r="W10" s="38">
        <v>150751.94191359793</v>
      </c>
      <c r="X10" s="39">
        <v>252867.964570421</v>
      </c>
      <c r="Y10" s="40">
        <f t="shared" si="1"/>
        <v>2.874877647952645E-2</v>
      </c>
      <c r="Z10" s="38">
        <v>103175.58611066101</v>
      </c>
      <c r="AA10" s="38">
        <v>155705.07466628452</v>
      </c>
      <c r="AB10" s="39">
        <f t="shared" si="2"/>
        <v>258880.66077694553</v>
      </c>
      <c r="AC10" s="40">
        <f t="shared" si="3"/>
        <v>2.3778006900712301E-2</v>
      </c>
      <c r="AD10" s="38">
        <v>104268.91147078099</v>
      </c>
      <c r="AE10" s="38">
        <v>160368.1172173908</v>
      </c>
      <c r="AF10" s="39">
        <f t="shared" si="4"/>
        <v>264637.02868817176</v>
      </c>
      <c r="AG10" s="40">
        <f t="shared" si="0"/>
        <v>2.2235604212189397E-2</v>
      </c>
    </row>
    <row r="11" spans="1:33" x14ac:dyDescent="0.3">
      <c r="A11" s="36" t="s">
        <v>70</v>
      </c>
      <c r="B11" s="36">
        <v>8019</v>
      </c>
      <c r="C11" s="37" t="s">
        <v>71</v>
      </c>
      <c r="D11" s="38">
        <v>1991095.8720216318</v>
      </c>
      <c r="E11" s="38">
        <v>1587938.5659350012</v>
      </c>
      <c r="F11" s="38">
        <v>3579034.437956633</v>
      </c>
      <c r="G11" s="38">
        <v>2003876.2709355936</v>
      </c>
      <c r="H11" s="38">
        <v>1579840.0792487327</v>
      </c>
      <c r="I11" s="38">
        <v>3583716.3501843261</v>
      </c>
      <c r="J11" s="38">
        <v>2010856.7546816338</v>
      </c>
      <c r="K11" s="38">
        <v>1528653.2606810736</v>
      </c>
      <c r="L11" s="39">
        <v>3539510.0153627074</v>
      </c>
      <c r="M11" s="38">
        <v>2008128.5499843007</v>
      </c>
      <c r="N11" s="38">
        <v>1512602.4014439224</v>
      </c>
      <c r="O11" s="39">
        <v>3520730.9514282234</v>
      </c>
      <c r="P11" s="38">
        <v>2010120.1394133542</v>
      </c>
      <c r="Q11" s="38">
        <v>1431575.1953194547</v>
      </c>
      <c r="R11" s="39">
        <v>3441695.3347328091</v>
      </c>
      <c r="S11" s="41">
        <v>1965467.4935745427</v>
      </c>
      <c r="T11" s="38">
        <v>1420822.7744369148</v>
      </c>
      <c r="U11" s="39">
        <v>3386290.2680114573</v>
      </c>
      <c r="V11" s="38">
        <v>1970079.8221491284</v>
      </c>
      <c r="W11" s="38">
        <v>1486652.9010193495</v>
      </c>
      <c r="X11" s="39">
        <v>3456732.7231684779</v>
      </c>
      <c r="Y11" s="40">
        <f t="shared" si="1"/>
        <v>2.0802249536153061E-2</v>
      </c>
      <c r="Z11" s="38">
        <v>1982926.6311313519</v>
      </c>
      <c r="AA11" s="38">
        <v>1535498.634496772</v>
      </c>
      <c r="AB11" s="39">
        <f t="shared" si="2"/>
        <v>3518425.2656281237</v>
      </c>
      <c r="AC11" s="40">
        <f t="shared" si="3"/>
        <v>1.7847067563585783E-2</v>
      </c>
      <c r="AD11" s="38">
        <v>1990767.39224318</v>
      </c>
      <c r="AE11" s="38">
        <v>1581483.6191555567</v>
      </c>
      <c r="AF11" s="39">
        <f t="shared" si="4"/>
        <v>3572251.0113987364</v>
      </c>
      <c r="AG11" s="40">
        <f t="shared" si="0"/>
        <v>1.5298248991229668E-2</v>
      </c>
    </row>
    <row r="12" spans="1:33" x14ac:dyDescent="0.3">
      <c r="A12" s="31" t="s">
        <v>72</v>
      </c>
      <c r="B12" s="31">
        <v>8020</v>
      </c>
      <c r="C12" s="32" t="s">
        <v>73</v>
      </c>
      <c r="D12" s="33">
        <v>1663.8331976845907</v>
      </c>
      <c r="E12" s="33">
        <v>2288.8448465170759</v>
      </c>
      <c r="F12" s="33">
        <v>3952.6780442016666</v>
      </c>
      <c r="G12" s="33">
        <v>1774.4829225349959</v>
      </c>
      <c r="H12" s="33">
        <v>2277.1717377998389</v>
      </c>
      <c r="I12" s="33">
        <v>4051.6546603348347</v>
      </c>
      <c r="J12" s="33">
        <v>1830.8296161923265</v>
      </c>
      <c r="K12" s="33">
        <v>2203.3913734951243</v>
      </c>
      <c r="L12" s="34">
        <v>4034.220989687451</v>
      </c>
      <c r="M12" s="33">
        <v>1853.309903299137</v>
      </c>
      <c r="N12" s="33">
        <v>2180.2557640734258</v>
      </c>
      <c r="O12" s="34">
        <v>4033.5656673725625</v>
      </c>
      <c r="P12" s="33">
        <v>1903.525609563701</v>
      </c>
      <c r="Q12" s="33">
        <v>2063.4636493504836</v>
      </c>
      <c r="R12" s="34">
        <v>3966.9892589141846</v>
      </c>
      <c r="S12" s="33">
        <v>1916.5409056954832</v>
      </c>
      <c r="T12" s="33">
        <v>2047.9651762656054</v>
      </c>
      <c r="U12" s="34">
        <v>3964.5060819610885</v>
      </c>
      <c r="V12" s="33">
        <v>1926.0554299838509</v>
      </c>
      <c r="W12" s="33">
        <v>2142.8523143489683</v>
      </c>
      <c r="X12" s="34">
        <v>4068.9077443328192</v>
      </c>
      <c r="Y12" s="35">
        <f t="shared" si="1"/>
        <v>2.6334090606335403E-2</v>
      </c>
      <c r="Z12" s="33">
        <v>1954.7565543328615</v>
      </c>
      <c r="AA12" s="33">
        <v>2213.2582530562481</v>
      </c>
      <c r="AB12" s="34">
        <f t="shared" si="2"/>
        <v>4168.0148073891096</v>
      </c>
      <c r="AC12" s="35">
        <f t="shared" si="3"/>
        <v>2.4357166415072129E-2</v>
      </c>
      <c r="AD12" s="33">
        <v>1973.8841149370357</v>
      </c>
      <c r="AE12" s="33">
        <v>2279.5407260758843</v>
      </c>
      <c r="AF12" s="34">
        <f t="shared" si="4"/>
        <v>4253.4248410129203</v>
      </c>
      <c r="AG12" s="35">
        <f t="shared" si="0"/>
        <v>2.0491777877658768E-2</v>
      </c>
    </row>
    <row r="13" spans="1:33" x14ac:dyDescent="0.3">
      <c r="A13" s="31" t="s">
        <v>74</v>
      </c>
      <c r="B13" s="31">
        <v>8023</v>
      </c>
      <c r="C13" s="32" t="s">
        <v>75</v>
      </c>
      <c r="D13" s="33">
        <v>4013.4197390133877</v>
      </c>
      <c r="E13" s="33">
        <v>5860.5910515681153</v>
      </c>
      <c r="F13" s="33">
        <v>9874.0107905815021</v>
      </c>
      <c r="G13" s="33">
        <v>4346.1027343017795</v>
      </c>
      <c r="H13" s="33">
        <v>5830.7020372051184</v>
      </c>
      <c r="I13" s="33">
        <v>10176.804771506897</v>
      </c>
      <c r="J13" s="33">
        <v>4457.5276609533939</v>
      </c>
      <c r="K13" s="33">
        <v>5641.7872911996728</v>
      </c>
      <c r="L13" s="34">
        <v>10099.314952153067</v>
      </c>
      <c r="M13" s="33">
        <v>4597.0741167123206</v>
      </c>
      <c r="N13" s="33">
        <v>5582.5485246420767</v>
      </c>
      <c r="O13" s="34">
        <v>10179.622641354397</v>
      </c>
      <c r="P13" s="33">
        <v>4659.1537187039339</v>
      </c>
      <c r="Q13" s="33">
        <v>5283.5021198669574</v>
      </c>
      <c r="R13" s="34">
        <v>9942.6558385708922</v>
      </c>
      <c r="S13" s="33">
        <v>4688.4993529229441</v>
      </c>
      <c r="T13" s="33">
        <v>5243.8182536527738</v>
      </c>
      <c r="U13" s="34">
        <v>9932.3176065757179</v>
      </c>
      <c r="V13" s="33">
        <v>4741.720102141905</v>
      </c>
      <c r="W13" s="33">
        <v>5486.7769291639042</v>
      </c>
      <c r="X13" s="34">
        <v>10228.497031305809</v>
      </c>
      <c r="Y13" s="35">
        <f t="shared" si="1"/>
        <v>2.9819769812234442E-2</v>
      </c>
      <c r="Z13" s="33">
        <v>4827.3368653187617</v>
      </c>
      <c r="AA13" s="33">
        <v>5667.0514527922833</v>
      </c>
      <c r="AB13" s="34">
        <f t="shared" si="2"/>
        <v>10494.388318111045</v>
      </c>
      <c r="AC13" s="35">
        <f t="shared" si="3"/>
        <v>2.5995147282287467E-2</v>
      </c>
      <c r="AD13" s="33">
        <v>4916.1802597656351</v>
      </c>
      <c r="AE13" s="33">
        <v>5836.767835641821</v>
      </c>
      <c r="AF13" s="34">
        <f t="shared" si="4"/>
        <v>10752.948095407457</v>
      </c>
      <c r="AG13" s="35">
        <f t="shared" si="0"/>
        <v>2.4637908323841495E-2</v>
      </c>
    </row>
    <row r="14" spans="1:33" x14ac:dyDescent="0.3">
      <c r="A14" s="31" t="s">
        <v>76</v>
      </c>
      <c r="B14" s="31">
        <v>8027</v>
      </c>
      <c r="C14" s="32" t="s">
        <v>77</v>
      </c>
      <c r="D14" s="33">
        <v>65.102935184432184</v>
      </c>
      <c r="E14" s="33">
        <v>502.77575309562292</v>
      </c>
      <c r="F14" s="33">
        <v>567.87868828005514</v>
      </c>
      <c r="G14" s="33">
        <v>73.251090156946447</v>
      </c>
      <c r="H14" s="33">
        <v>500.21159675483523</v>
      </c>
      <c r="I14" s="33">
        <v>573.4626869117817</v>
      </c>
      <c r="J14" s="33">
        <v>73.086480965582524</v>
      </c>
      <c r="K14" s="33">
        <v>484.00474101997855</v>
      </c>
      <c r="L14" s="34">
        <v>557.09122198556111</v>
      </c>
      <c r="M14" s="33">
        <v>74.238745305129996</v>
      </c>
      <c r="N14" s="33">
        <v>478.92269123926877</v>
      </c>
      <c r="O14" s="34">
        <v>553.16143654439873</v>
      </c>
      <c r="P14" s="33">
        <v>77.942452110818294</v>
      </c>
      <c r="Q14" s="33">
        <v>453.26772230381999</v>
      </c>
      <c r="R14" s="34">
        <v>531.21017441463823</v>
      </c>
      <c r="S14" s="33">
        <v>78.518584280592037</v>
      </c>
      <c r="T14" s="33">
        <v>449.86327289828716</v>
      </c>
      <c r="U14" s="34">
        <v>528.38185717887916</v>
      </c>
      <c r="V14" s="33">
        <v>85.34476883908566</v>
      </c>
      <c r="W14" s="33">
        <v>470.7065172018697</v>
      </c>
      <c r="X14" s="34">
        <v>556.05128604095535</v>
      </c>
      <c r="Y14" s="35">
        <f t="shared" si="1"/>
        <v>5.2366349234260312E-2</v>
      </c>
      <c r="Z14" s="33">
        <v>86.419300959681166</v>
      </c>
      <c r="AA14" s="33">
        <v>486.17213467691278</v>
      </c>
      <c r="AB14" s="34">
        <f t="shared" si="2"/>
        <v>572.59143563659393</v>
      </c>
      <c r="AC14" s="35">
        <f t="shared" si="3"/>
        <v>2.9745726717769649E-2</v>
      </c>
      <c r="AD14" s="33">
        <v>88.763069381784931</v>
      </c>
      <c r="AE14" s="33">
        <v>500.73197709707449</v>
      </c>
      <c r="AF14" s="34">
        <f t="shared" si="4"/>
        <v>589.49504647885942</v>
      </c>
      <c r="AG14" s="35">
        <f t="shared" si="0"/>
        <v>2.9521242879702703E-2</v>
      </c>
    </row>
    <row r="15" spans="1:33" x14ac:dyDescent="0.3">
      <c r="A15" s="31" t="s">
        <v>78</v>
      </c>
      <c r="B15" s="31">
        <v>8029</v>
      </c>
      <c r="C15" s="32" t="s">
        <v>79</v>
      </c>
      <c r="D15" s="33">
        <v>328.01900479371596</v>
      </c>
      <c r="E15" s="33">
        <v>2707.157044408435</v>
      </c>
      <c r="F15" s="33">
        <v>3035.1760492021508</v>
      </c>
      <c r="G15" s="33">
        <v>339.57118344840603</v>
      </c>
      <c r="H15" s="33">
        <v>2693.3505434819522</v>
      </c>
      <c r="I15" s="33">
        <v>3032.9217269303581</v>
      </c>
      <c r="J15" s="33">
        <v>346.40818714199816</v>
      </c>
      <c r="K15" s="33">
        <v>2606.0859858731369</v>
      </c>
      <c r="L15" s="34">
        <v>2952.4941730151349</v>
      </c>
      <c r="M15" s="33">
        <v>353.95246707975491</v>
      </c>
      <c r="N15" s="33">
        <v>2578.7220830214692</v>
      </c>
      <c r="O15" s="34">
        <v>2932.6745501012242</v>
      </c>
      <c r="P15" s="33">
        <v>356.15288206160068</v>
      </c>
      <c r="Q15" s="33">
        <v>2440.5848927332363</v>
      </c>
      <c r="R15" s="34">
        <v>2796.7377747948372</v>
      </c>
      <c r="S15" s="33">
        <v>358.04791289276955</v>
      </c>
      <c r="T15" s="33">
        <v>2422.2538989775221</v>
      </c>
      <c r="U15" s="34">
        <v>2780.3018118702917</v>
      </c>
      <c r="V15" s="33">
        <v>361.46294429724378</v>
      </c>
      <c r="W15" s="33">
        <v>2534.4827312100856</v>
      </c>
      <c r="X15" s="34">
        <v>2895.9456755073293</v>
      </c>
      <c r="Y15" s="35">
        <f t="shared" si="1"/>
        <v>4.1593996429921676E-2</v>
      </c>
      <c r="Z15" s="33">
        <v>367.63364893429332</v>
      </c>
      <c r="AA15" s="33">
        <v>2617.756148903572</v>
      </c>
      <c r="AB15" s="34">
        <f t="shared" si="2"/>
        <v>2985.3897978378654</v>
      </c>
      <c r="AC15" s="35">
        <f t="shared" si="3"/>
        <v>3.0885980730583462E-2</v>
      </c>
      <c r="AD15" s="33">
        <v>373.1585727113337</v>
      </c>
      <c r="AE15" s="33">
        <v>2696.1524910710932</v>
      </c>
      <c r="AF15" s="34">
        <f t="shared" si="4"/>
        <v>3069.311063782427</v>
      </c>
      <c r="AG15" s="35">
        <f t="shared" si="0"/>
        <v>2.8110656104385567E-2</v>
      </c>
    </row>
    <row r="16" spans="1:33" x14ac:dyDescent="0.3">
      <c r="A16" s="31" t="s">
        <v>80</v>
      </c>
      <c r="B16" s="31">
        <v>8030</v>
      </c>
      <c r="C16" s="32" t="s">
        <v>81</v>
      </c>
      <c r="D16" s="33">
        <v>1134.4072818137313</v>
      </c>
      <c r="E16" s="33">
        <v>4003.6980634550191</v>
      </c>
      <c r="F16" s="33">
        <v>5138.1053452687502</v>
      </c>
      <c r="G16" s="33">
        <v>1186.1290336467321</v>
      </c>
      <c r="H16" s="33">
        <v>3983.2792033313985</v>
      </c>
      <c r="I16" s="33">
        <v>5169.4082369781308</v>
      </c>
      <c r="J16" s="33">
        <v>1208.6922139765645</v>
      </c>
      <c r="K16" s="33">
        <v>3854.2209571434614</v>
      </c>
      <c r="L16" s="34">
        <v>5062.9131711200262</v>
      </c>
      <c r="M16" s="33">
        <v>1233.6852752649943</v>
      </c>
      <c r="N16" s="33">
        <v>3813.7516370934554</v>
      </c>
      <c r="O16" s="34">
        <v>5047.4369123584493</v>
      </c>
      <c r="P16" s="33">
        <v>1239.2392888846452</v>
      </c>
      <c r="Q16" s="33">
        <v>3609.4562851150963</v>
      </c>
      <c r="R16" s="34">
        <v>4848.6955739997411</v>
      </c>
      <c r="S16" s="33">
        <v>1249.5026432584948</v>
      </c>
      <c r="T16" s="33">
        <v>3582.3460129746059</v>
      </c>
      <c r="U16" s="34">
        <v>4831.8486562331009</v>
      </c>
      <c r="V16" s="33">
        <v>1259.0848258969122</v>
      </c>
      <c r="W16" s="33">
        <v>3748.32469500246</v>
      </c>
      <c r="X16" s="34">
        <v>5007.4095208993722</v>
      </c>
      <c r="Y16" s="35">
        <f t="shared" si="1"/>
        <v>3.6334098428310035E-2</v>
      </c>
      <c r="Z16" s="33">
        <v>1279.1869217114095</v>
      </c>
      <c r="AA16" s="33">
        <v>3871.4803212507877</v>
      </c>
      <c r="AB16" s="34">
        <f t="shared" si="2"/>
        <v>5150.6672429621976</v>
      </c>
      <c r="AC16" s="35">
        <f t="shared" si="3"/>
        <v>2.8609148395974504E-2</v>
      </c>
      <c r="AD16" s="33">
        <v>1294.8910546737688</v>
      </c>
      <c r="AE16" s="33">
        <v>3987.4230900555613</v>
      </c>
      <c r="AF16" s="34">
        <f t="shared" si="4"/>
        <v>5282.3141447293301</v>
      </c>
      <c r="AG16" s="35">
        <f t="shared" si="0"/>
        <v>2.5559193703886152E-2</v>
      </c>
    </row>
    <row r="17" spans="1:33" x14ac:dyDescent="0.3">
      <c r="A17" s="31" t="s">
        <v>82</v>
      </c>
      <c r="B17" s="31">
        <v>8032</v>
      </c>
      <c r="C17" s="32" t="s">
        <v>83</v>
      </c>
      <c r="D17" s="33">
        <v>132.39860013472043</v>
      </c>
      <c r="E17" s="33">
        <v>640.37154255376606</v>
      </c>
      <c r="F17" s="33">
        <v>772.77014268848643</v>
      </c>
      <c r="G17" s="33">
        <v>138.89918349384749</v>
      </c>
      <c r="H17" s="33">
        <v>637.1056476867418</v>
      </c>
      <c r="I17" s="33">
        <v>776.00483118058924</v>
      </c>
      <c r="J17" s="33">
        <v>142.14947517341099</v>
      </c>
      <c r="K17" s="33">
        <v>616.46342470169134</v>
      </c>
      <c r="L17" s="34">
        <v>758.61289987510236</v>
      </c>
      <c r="M17" s="33">
        <v>141.33690225352012</v>
      </c>
      <c r="N17" s="33">
        <v>609.99055874232363</v>
      </c>
      <c r="O17" s="34">
        <v>751.32746099584369</v>
      </c>
      <c r="P17" s="33">
        <v>140.82904417858833</v>
      </c>
      <c r="Q17" s="33">
        <v>577.3145358231402</v>
      </c>
      <c r="R17" s="34">
        <v>718.14358000172854</v>
      </c>
      <c r="S17" s="33">
        <v>141.501558113687</v>
      </c>
      <c r="T17" s="33">
        <v>572.97838296782811</v>
      </c>
      <c r="U17" s="34">
        <v>714.47994108151511</v>
      </c>
      <c r="V17" s="33">
        <v>143.67899524764223</v>
      </c>
      <c r="W17" s="33">
        <v>599.52584557780722</v>
      </c>
      <c r="X17" s="34">
        <v>743.20484082544942</v>
      </c>
      <c r="Y17" s="35">
        <f t="shared" si="1"/>
        <v>4.0203927489487201E-2</v>
      </c>
      <c r="Z17" s="33">
        <v>145.23004641754991</v>
      </c>
      <c r="AA17" s="33">
        <v>619.22397393435949</v>
      </c>
      <c r="AB17" s="34">
        <f t="shared" si="2"/>
        <v>764.45402035190943</v>
      </c>
      <c r="AC17" s="35">
        <f t="shared" si="3"/>
        <v>2.8591282455667777E-2</v>
      </c>
      <c r="AD17" s="33">
        <v>147.92834197874174</v>
      </c>
      <c r="AE17" s="33">
        <v>637.76844170658603</v>
      </c>
      <c r="AF17" s="34">
        <f t="shared" si="4"/>
        <v>785.69678368532777</v>
      </c>
      <c r="AG17" s="35">
        <f t="shared" si="0"/>
        <v>2.7788150454934435E-2</v>
      </c>
    </row>
    <row r="18" spans="1:33" x14ac:dyDescent="0.3">
      <c r="A18" s="31" t="s">
        <v>84</v>
      </c>
      <c r="B18" s="31">
        <v>8033</v>
      </c>
      <c r="C18" s="32" t="s">
        <v>85</v>
      </c>
      <c r="D18" s="33">
        <v>6355.417063166632</v>
      </c>
      <c r="E18" s="33">
        <v>8290.4033701804165</v>
      </c>
      <c r="F18" s="33">
        <v>14645.820433347049</v>
      </c>
      <c r="G18" s="33">
        <v>6585.4575653589127</v>
      </c>
      <c r="H18" s="33">
        <v>8248.1223129924965</v>
      </c>
      <c r="I18" s="33">
        <v>14833.579878351409</v>
      </c>
      <c r="J18" s="33">
        <v>6731.7744878971571</v>
      </c>
      <c r="K18" s="33">
        <v>7980.8831500515398</v>
      </c>
      <c r="L18" s="34">
        <v>14712.657637948698</v>
      </c>
      <c r="M18" s="33">
        <v>6785.1981053906848</v>
      </c>
      <c r="N18" s="33">
        <v>7897.0838769759994</v>
      </c>
      <c r="O18" s="34">
        <v>14682.281982366683</v>
      </c>
      <c r="P18" s="33">
        <v>6885.6664009755286</v>
      </c>
      <c r="Q18" s="33">
        <v>7474.0522577804195</v>
      </c>
      <c r="R18" s="34">
        <v>14359.718658755948</v>
      </c>
      <c r="S18" s="33">
        <v>6967.5880590646229</v>
      </c>
      <c r="T18" s="33">
        <v>7417.9153843304584</v>
      </c>
      <c r="U18" s="34">
        <v>14385.503443395082</v>
      </c>
      <c r="V18" s="33">
        <v>7026.6684268415602</v>
      </c>
      <c r="W18" s="33">
        <v>7761.6051938647888</v>
      </c>
      <c r="X18" s="34">
        <v>14788.27362070635</v>
      </c>
      <c r="Y18" s="35">
        <f t="shared" si="1"/>
        <v>2.7998337277253427E-2</v>
      </c>
      <c r="Z18" s="33">
        <v>7130.7015726133168</v>
      </c>
      <c r="AA18" s="33">
        <v>8016.6218816178935</v>
      </c>
      <c r="AB18" s="34">
        <f t="shared" si="2"/>
        <v>15147.323454231209</v>
      </c>
      <c r="AC18" s="35">
        <f t="shared" si="3"/>
        <v>2.4279360981130482E-2</v>
      </c>
      <c r="AD18" s="33">
        <v>7254.9544015302263</v>
      </c>
      <c r="AE18" s="33">
        <v>8256.7030031242593</v>
      </c>
      <c r="AF18" s="34">
        <f t="shared" si="4"/>
        <v>15511.657404654485</v>
      </c>
      <c r="AG18" s="35">
        <f t="shared" si="0"/>
        <v>2.4052694954599607E-2</v>
      </c>
    </row>
    <row r="19" spans="1:33" x14ac:dyDescent="0.3">
      <c r="A19" s="31" t="s">
        <v>86</v>
      </c>
      <c r="B19" s="31">
        <v>8035</v>
      </c>
      <c r="C19" s="32" t="s">
        <v>87</v>
      </c>
      <c r="D19" s="33">
        <v>2607.5018894919272</v>
      </c>
      <c r="E19" s="33">
        <v>5010.0637031876804</v>
      </c>
      <c r="F19" s="33">
        <v>7617.565592679608</v>
      </c>
      <c r="G19" s="33">
        <v>2746.4860336610777</v>
      </c>
      <c r="H19" s="33">
        <v>4984.5123783014233</v>
      </c>
      <c r="I19" s="33">
        <v>7730.9984119625005</v>
      </c>
      <c r="J19" s="33">
        <v>2748.2565323129138</v>
      </c>
      <c r="K19" s="33">
        <v>4823.0141772444576</v>
      </c>
      <c r="L19" s="34">
        <v>7571.2707095573714</v>
      </c>
      <c r="M19" s="33">
        <v>2747.9614492042742</v>
      </c>
      <c r="N19" s="33">
        <v>4772.372528383391</v>
      </c>
      <c r="O19" s="34">
        <v>7520.3339775876648</v>
      </c>
      <c r="P19" s="33">
        <v>2733.7974599895838</v>
      </c>
      <c r="Q19" s="33">
        <v>4516.7256960162513</v>
      </c>
      <c r="R19" s="34">
        <v>7250.5231560058346</v>
      </c>
      <c r="S19" s="33">
        <v>2728.0565609835844</v>
      </c>
      <c r="T19" s="33">
        <v>4482.8010123158529</v>
      </c>
      <c r="U19" s="34">
        <v>7210.8575732994377</v>
      </c>
      <c r="V19" s="33">
        <v>2749.5340716646383</v>
      </c>
      <c r="W19" s="33">
        <v>4690.4999339505866</v>
      </c>
      <c r="X19" s="34">
        <v>7440.0340056152254</v>
      </c>
      <c r="Y19" s="35">
        <f t="shared" si="1"/>
        <v>3.1782132705600485E-2</v>
      </c>
      <c r="Z19" s="33">
        <v>2787.0394583970547</v>
      </c>
      <c r="AA19" s="33">
        <v>4844.6118382777668</v>
      </c>
      <c r="AB19" s="34">
        <f t="shared" si="2"/>
        <v>7631.6512966748214</v>
      </c>
      <c r="AC19" s="35">
        <f t="shared" si="3"/>
        <v>2.5754894522656224E-2</v>
      </c>
      <c r="AD19" s="33">
        <v>2830.4460472309461</v>
      </c>
      <c r="AE19" s="33">
        <v>4989.6978683503248</v>
      </c>
      <c r="AF19" s="34">
        <f t="shared" si="4"/>
        <v>7820.1439155812714</v>
      </c>
      <c r="AG19" s="35">
        <f t="shared" si="0"/>
        <v>2.4698798671340949E-2</v>
      </c>
    </row>
    <row r="20" spans="1:33" x14ac:dyDescent="0.3">
      <c r="A20" s="31" t="s">
        <v>88</v>
      </c>
      <c r="B20" s="31">
        <v>8039</v>
      </c>
      <c r="C20" s="32" t="s">
        <v>89</v>
      </c>
      <c r="D20" s="33">
        <v>46.639353439355432</v>
      </c>
      <c r="E20" s="33">
        <v>219.57399666832569</v>
      </c>
      <c r="F20" s="33">
        <v>266.21335010768109</v>
      </c>
      <c r="G20" s="33">
        <v>48.823565583898244</v>
      </c>
      <c r="H20" s="33">
        <v>218.45416928531722</v>
      </c>
      <c r="I20" s="33">
        <v>267.27773486921546</v>
      </c>
      <c r="J20" s="33">
        <v>50.108396257158731</v>
      </c>
      <c r="K20" s="33">
        <v>211.37625420047294</v>
      </c>
      <c r="L20" s="34">
        <v>261.48465045763169</v>
      </c>
      <c r="M20" s="33">
        <v>53.063506805657838</v>
      </c>
      <c r="N20" s="33">
        <v>209.15680353136798</v>
      </c>
      <c r="O20" s="34">
        <v>262.22031033702581</v>
      </c>
      <c r="P20" s="33">
        <v>63.72760139371983</v>
      </c>
      <c r="Q20" s="33">
        <v>197.95267519209452</v>
      </c>
      <c r="R20" s="34">
        <v>261.68027658581434</v>
      </c>
      <c r="S20" s="33">
        <v>64.434523952521943</v>
      </c>
      <c r="T20" s="33">
        <v>196.46587206400935</v>
      </c>
      <c r="U20" s="34">
        <v>260.90039601653132</v>
      </c>
      <c r="V20" s="33">
        <v>64.547871446486766</v>
      </c>
      <c r="W20" s="33">
        <v>205.5686070847284</v>
      </c>
      <c r="X20" s="34">
        <v>270.11647853121519</v>
      </c>
      <c r="Y20" s="35">
        <f t="shared" si="1"/>
        <v>3.532414153215746E-2</v>
      </c>
      <c r="Z20" s="33">
        <v>64.781216602937917</v>
      </c>
      <c r="AA20" s="33">
        <v>212.32280598757973</v>
      </c>
      <c r="AB20" s="34">
        <f t="shared" si="2"/>
        <v>277.10402259051762</v>
      </c>
      <c r="AC20" s="35">
        <f t="shared" si="3"/>
        <v>2.5868633033045096E-2</v>
      </c>
      <c r="AD20" s="33">
        <v>66.239781493186484</v>
      </c>
      <c r="AE20" s="33">
        <v>218.6814316201247</v>
      </c>
      <c r="AF20" s="34">
        <f t="shared" si="4"/>
        <v>284.92121311331118</v>
      </c>
      <c r="AG20" s="35">
        <f t="shared" si="0"/>
        <v>2.8210310517019055E-2</v>
      </c>
    </row>
    <row r="21" spans="1:33" x14ac:dyDescent="0.3">
      <c r="A21" s="31" t="s">
        <v>90</v>
      </c>
      <c r="B21" s="31">
        <v>8040</v>
      </c>
      <c r="C21" s="32" t="s">
        <v>91</v>
      </c>
      <c r="D21" s="33">
        <v>1561.3701362193146</v>
      </c>
      <c r="E21" s="33">
        <v>2249.1186944012766</v>
      </c>
      <c r="F21" s="33">
        <v>3810.4888306205912</v>
      </c>
      <c r="G21" s="33">
        <v>1636.5888918024948</v>
      </c>
      <c r="H21" s="33">
        <v>2237.6481890598302</v>
      </c>
      <c r="I21" s="33">
        <v>3874.237080862325</v>
      </c>
      <c r="J21" s="33">
        <v>1657.0141473836186</v>
      </c>
      <c r="K21" s="33">
        <v>2165.1483877342916</v>
      </c>
      <c r="L21" s="34">
        <v>3822.16253511791</v>
      </c>
      <c r="M21" s="33">
        <v>1701.9007868942319</v>
      </c>
      <c r="N21" s="33">
        <v>2142.4143296630818</v>
      </c>
      <c r="O21" s="34">
        <v>3844.3151165573136</v>
      </c>
      <c r="P21" s="33">
        <v>1734.6790413597478</v>
      </c>
      <c r="Q21" s="33">
        <v>2027.6493079178354</v>
      </c>
      <c r="R21" s="34">
        <v>3762.3283492775831</v>
      </c>
      <c r="S21" s="33">
        <v>1739.8073977197009</v>
      </c>
      <c r="T21" s="33">
        <v>2012.4198328387718</v>
      </c>
      <c r="U21" s="34">
        <v>3752.2272305584729</v>
      </c>
      <c r="V21" s="33">
        <v>1754.5525578965378</v>
      </c>
      <c r="W21" s="33">
        <v>2105.6600699156866</v>
      </c>
      <c r="X21" s="34">
        <v>3860.2126278122241</v>
      </c>
      <c r="Y21" s="35">
        <f t="shared" si="1"/>
        <v>2.8779013268255271E-2</v>
      </c>
      <c r="Z21" s="33">
        <v>1780.0286313750112</v>
      </c>
      <c r="AA21" s="33">
        <v>2174.8440135911942</v>
      </c>
      <c r="AB21" s="34">
        <f t="shared" si="2"/>
        <v>3954.8726449662054</v>
      </c>
      <c r="AC21" s="35">
        <f t="shared" si="3"/>
        <v>2.4521969715339154E-2</v>
      </c>
      <c r="AD21" s="33">
        <v>1809.3098466611773</v>
      </c>
      <c r="AE21" s="33">
        <v>2239.9760601807488</v>
      </c>
      <c r="AF21" s="34">
        <f t="shared" si="4"/>
        <v>4049.2859068419261</v>
      </c>
      <c r="AG21" s="35">
        <f t="shared" si="0"/>
        <v>2.3872642775460973E-2</v>
      </c>
    </row>
    <row r="22" spans="1:33" x14ac:dyDescent="0.3">
      <c r="A22" s="31" t="s">
        <v>92</v>
      </c>
      <c r="B22" s="31">
        <v>8041</v>
      </c>
      <c r="C22" s="32" t="s">
        <v>93</v>
      </c>
      <c r="D22" s="33">
        <v>3217.0387123985597</v>
      </c>
      <c r="E22" s="33">
        <v>8032.7293354853391</v>
      </c>
      <c r="F22" s="33">
        <v>11249.768047883899</v>
      </c>
      <c r="G22" s="33">
        <v>3389.3341510322157</v>
      </c>
      <c r="H22" s="33">
        <v>7991.7624158743638</v>
      </c>
      <c r="I22" s="33">
        <v>11381.096566906579</v>
      </c>
      <c r="J22" s="33">
        <v>3433.6937975461051</v>
      </c>
      <c r="K22" s="33">
        <v>7732.8293136000348</v>
      </c>
      <c r="L22" s="34">
        <v>11166.52311114614</v>
      </c>
      <c r="M22" s="33">
        <v>3445.0515814361347</v>
      </c>
      <c r="N22" s="33">
        <v>7651.6346058072349</v>
      </c>
      <c r="O22" s="34">
        <v>11096.686187243369</v>
      </c>
      <c r="P22" s="33">
        <v>3448.0517507655763</v>
      </c>
      <c r="Q22" s="33">
        <v>7241.7512327529457</v>
      </c>
      <c r="R22" s="34">
        <v>10689.802983518523</v>
      </c>
      <c r="S22" s="33">
        <v>3422.6209274307498</v>
      </c>
      <c r="T22" s="33">
        <v>7187.3591495177825</v>
      </c>
      <c r="U22" s="34">
        <v>10609.980076948532</v>
      </c>
      <c r="V22" s="33">
        <v>3440.9349209570223</v>
      </c>
      <c r="W22" s="33">
        <v>7520.3667357691265</v>
      </c>
      <c r="X22" s="34">
        <v>10961.301656726149</v>
      </c>
      <c r="Y22" s="35">
        <f t="shared" si="1"/>
        <v>3.3112369413483167E-2</v>
      </c>
      <c r="Z22" s="33">
        <v>3491.1068736664656</v>
      </c>
      <c r="AA22" s="33">
        <v>7767.4572496180426</v>
      </c>
      <c r="AB22" s="34">
        <f t="shared" si="2"/>
        <v>11258.564123284508</v>
      </c>
      <c r="AC22" s="35">
        <f t="shared" si="3"/>
        <v>2.7119267023907767E-2</v>
      </c>
      <c r="AD22" s="33">
        <v>3522.5806211093809</v>
      </c>
      <c r="AE22" s="33">
        <v>8000.0764095683298</v>
      </c>
      <c r="AF22" s="34">
        <f t="shared" si="4"/>
        <v>11522.65703067771</v>
      </c>
      <c r="AG22" s="35">
        <f t="shared" si="0"/>
        <v>2.3457068281648397E-2</v>
      </c>
    </row>
    <row r="23" spans="1:33" x14ac:dyDescent="0.3">
      <c r="A23" s="31" t="s">
        <v>94</v>
      </c>
      <c r="B23" s="31">
        <v>8042</v>
      </c>
      <c r="C23" s="32" t="s">
        <v>95</v>
      </c>
      <c r="D23" s="33">
        <v>650.79931496530276</v>
      </c>
      <c r="E23" s="33">
        <v>1922.703536495239</v>
      </c>
      <c r="F23" s="33">
        <v>2573.5028514605419</v>
      </c>
      <c r="G23" s="33">
        <v>703.85644787211265</v>
      </c>
      <c r="H23" s="33">
        <v>1912.8977484591132</v>
      </c>
      <c r="I23" s="33">
        <v>2616.754196331226</v>
      </c>
      <c r="J23" s="33">
        <v>716.66334202203223</v>
      </c>
      <c r="K23" s="33">
        <v>1850.919861409038</v>
      </c>
      <c r="L23" s="34">
        <v>2567.5832034310702</v>
      </c>
      <c r="M23" s="33">
        <v>734.1748095331468</v>
      </c>
      <c r="N23" s="33">
        <v>1831.4852028642433</v>
      </c>
      <c r="O23" s="34">
        <v>2565.6600123973903</v>
      </c>
      <c r="P23" s="33">
        <v>748.81125999019775</v>
      </c>
      <c r="Q23" s="33">
        <v>1733.3760573910299</v>
      </c>
      <c r="R23" s="34">
        <v>2482.1873173812278</v>
      </c>
      <c r="S23" s="33">
        <v>762.44057175429248</v>
      </c>
      <c r="T23" s="33">
        <v>1720.3568398342275</v>
      </c>
      <c r="U23" s="34">
        <v>2482.7974115885199</v>
      </c>
      <c r="V23" s="33">
        <v>770.21617395942314</v>
      </c>
      <c r="W23" s="33">
        <v>1800.0650980145108</v>
      </c>
      <c r="X23" s="34">
        <v>2570.2812719739341</v>
      </c>
      <c r="Y23" s="35">
        <f t="shared" si="1"/>
        <v>3.5236004346178573E-2</v>
      </c>
      <c r="Z23" s="33">
        <v>787.69564071194452</v>
      </c>
      <c r="AA23" s="33">
        <v>1859.2083586635431</v>
      </c>
      <c r="AB23" s="34">
        <f t="shared" si="2"/>
        <v>2646.9039993754877</v>
      </c>
      <c r="AC23" s="35">
        <f t="shared" si="3"/>
        <v>2.9811028169189013E-2</v>
      </c>
      <c r="AD23" s="33">
        <v>805.06527134630801</v>
      </c>
      <c r="AE23" s="33">
        <v>1914.8877750627944</v>
      </c>
      <c r="AF23" s="34">
        <f t="shared" si="4"/>
        <v>2719.9530464091022</v>
      </c>
      <c r="AG23" s="35">
        <f t="shared" si="0"/>
        <v>2.7597920835379597E-2</v>
      </c>
    </row>
    <row r="24" spans="1:33" x14ac:dyDescent="0.3">
      <c r="A24" s="31" t="s">
        <v>96</v>
      </c>
      <c r="B24" s="31">
        <v>8043</v>
      </c>
      <c r="C24" s="32" t="s">
        <v>97</v>
      </c>
      <c r="D24" s="33">
        <v>1101.9550836413898</v>
      </c>
      <c r="E24" s="33">
        <v>3089.462227768729</v>
      </c>
      <c r="F24" s="33">
        <v>4191.4173114101186</v>
      </c>
      <c r="G24" s="33">
        <v>1282.9447994138854</v>
      </c>
      <c r="H24" s="33">
        <v>3073.7059704071085</v>
      </c>
      <c r="I24" s="33">
        <v>4356.6507698209934</v>
      </c>
      <c r="J24" s="33">
        <v>1314.6580416465881</v>
      </c>
      <c r="K24" s="33">
        <v>2974.1178969659181</v>
      </c>
      <c r="L24" s="34">
        <v>4288.7759386125063</v>
      </c>
      <c r="M24" s="33">
        <v>1344.1289334183928</v>
      </c>
      <c r="N24" s="33">
        <v>2942.8896590477761</v>
      </c>
      <c r="O24" s="34">
        <v>4287.0185924661691</v>
      </c>
      <c r="P24" s="33">
        <v>1369.4354600485294</v>
      </c>
      <c r="Q24" s="33">
        <v>2785.2447109916302</v>
      </c>
      <c r="R24" s="34">
        <v>4154.6801710401596</v>
      </c>
      <c r="S24" s="33">
        <v>1396.9850842064413</v>
      </c>
      <c r="T24" s="33">
        <v>2764.325011145359</v>
      </c>
      <c r="U24" s="34">
        <v>4161.3100953518006</v>
      </c>
      <c r="V24" s="33">
        <v>1422.8269888869518</v>
      </c>
      <c r="W24" s="33">
        <v>2892.4028183657615</v>
      </c>
      <c r="X24" s="34">
        <v>4315.2298072527137</v>
      </c>
      <c r="Y24" s="35">
        <f t="shared" si="1"/>
        <v>3.6988282145289375E-2</v>
      </c>
      <c r="Z24" s="33">
        <v>1450.3214900610642</v>
      </c>
      <c r="AA24" s="33">
        <v>2987.4361224264253</v>
      </c>
      <c r="AB24" s="34">
        <f t="shared" si="2"/>
        <v>4437.7576124874895</v>
      </c>
      <c r="AC24" s="35">
        <f t="shared" si="3"/>
        <v>2.839427115303117E-2</v>
      </c>
      <c r="AD24" s="33">
        <v>1485.1602160071052</v>
      </c>
      <c r="AE24" s="33">
        <v>3076.9036095166375</v>
      </c>
      <c r="AF24" s="34">
        <f t="shared" si="4"/>
        <v>4562.0638255237427</v>
      </c>
      <c r="AG24" s="35">
        <f t="shared" si="0"/>
        <v>2.8011041586964103E-2</v>
      </c>
    </row>
    <row r="25" spans="1:33" x14ac:dyDescent="0.3">
      <c r="A25" s="31" t="s">
        <v>98</v>
      </c>
      <c r="B25" s="31">
        <v>8046</v>
      </c>
      <c r="C25" s="32" t="s">
        <v>99</v>
      </c>
      <c r="D25" s="33">
        <v>1291.8886345589979</v>
      </c>
      <c r="E25" s="33">
        <v>4335.338135030659</v>
      </c>
      <c r="F25" s="33">
        <v>5627.2267695896571</v>
      </c>
      <c r="G25" s="33">
        <v>1336.8029557013676</v>
      </c>
      <c r="H25" s="33">
        <v>4313.227910542003</v>
      </c>
      <c r="I25" s="33">
        <v>5650.0308662433708</v>
      </c>
      <c r="J25" s="33">
        <v>1377.8152933064152</v>
      </c>
      <c r="K25" s="33">
        <v>4173.4793262404419</v>
      </c>
      <c r="L25" s="34">
        <v>5551.2946195468576</v>
      </c>
      <c r="M25" s="33">
        <v>1402.8045921305434</v>
      </c>
      <c r="N25" s="33">
        <v>4129.6577933149174</v>
      </c>
      <c r="O25" s="34">
        <v>5532.4623854454603</v>
      </c>
      <c r="P25" s="33">
        <v>1446.8056830833273</v>
      </c>
      <c r="Q25" s="33">
        <v>3908.4399551553183</v>
      </c>
      <c r="R25" s="34">
        <v>5355.2456382386454</v>
      </c>
      <c r="S25" s="33">
        <v>1447.9597668261872</v>
      </c>
      <c r="T25" s="33">
        <v>3879.0840459936016</v>
      </c>
      <c r="U25" s="34">
        <v>5327.0438128197893</v>
      </c>
      <c r="V25" s="33">
        <v>1465.6898656651836</v>
      </c>
      <c r="W25" s="33">
        <v>4058.8113127337219</v>
      </c>
      <c r="X25" s="34">
        <v>5524.5011783989057</v>
      </c>
      <c r="Y25" s="35">
        <f t="shared" si="1"/>
        <v>3.7066968569683167E-2</v>
      </c>
      <c r="Z25" s="33">
        <v>1490.0331818337988</v>
      </c>
      <c r="AA25" s="33">
        <v>4192.1683427983735</v>
      </c>
      <c r="AB25" s="34">
        <f t="shared" si="2"/>
        <v>5682.2015246321725</v>
      </c>
      <c r="AC25" s="35">
        <f t="shared" si="3"/>
        <v>2.8545626318242645E-2</v>
      </c>
      <c r="AD25" s="33">
        <v>1508.9029993859215</v>
      </c>
      <c r="AE25" s="33">
        <v>4317.7150496463446</v>
      </c>
      <c r="AF25" s="34">
        <f t="shared" si="4"/>
        <v>5826.6180490322658</v>
      </c>
      <c r="AG25" s="35">
        <f t="shared" si="0"/>
        <v>2.5415593546630033E-2</v>
      </c>
    </row>
    <row r="26" spans="1:33" x14ac:dyDescent="0.3">
      <c r="A26" s="31" t="s">
        <v>100</v>
      </c>
      <c r="B26" s="31">
        <v>8051</v>
      </c>
      <c r="C26" s="32" t="s">
        <v>101</v>
      </c>
      <c r="D26" s="33">
        <v>3920.5669906759435</v>
      </c>
      <c r="E26" s="33">
        <v>8716.8925875223194</v>
      </c>
      <c r="F26" s="33">
        <v>12637.459578198263</v>
      </c>
      <c r="G26" s="33">
        <v>4157.8040183282819</v>
      </c>
      <c r="H26" s="33">
        <v>8672.4364353259552</v>
      </c>
      <c r="I26" s="33">
        <v>12830.240453654238</v>
      </c>
      <c r="J26" s="33">
        <v>4226.8986135236955</v>
      </c>
      <c r="K26" s="33">
        <v>8391.4494948213942</v>
      </c>
      <c r="L26" s="34">
        <v>12618.34810834509</v>
      </c>
      <c r="M26" s="33">
        <v>4250.2364156242747</v>
      </c>
      <c r="N26" s="33">
        <v>8303.3392751257707</v>
      </c>
      <c r="O26" s="34">
        <v>12553.575690750045</v>
      </c>
      <c r="P26" s="33">
        <v>4293.2367754001443</v>
      </c>
      <c r="Q26" s="33">
        <v>7858.5453343487652</v>
      </c>
      <c r="R26" s="34">
        <v>12151.78210974891</v>
      </c>
      <c r="S26" s="33">
        <v>4294.8069340613856</v>
      </c>
      <c r="T26" s="33">
        <v>7799.5205711119434</v>
      </c>
      <c r="U26" s="34">
        <v>12094.327505173329</v>
      </c>
      <c r="V26" s="33">
        <v>4342.8311854920476</v>
      </c>
      <c r="W26" s="33">
        <v>8160.8910641222938</v>
      </c>
      <c r="X26" s="34">
        <v>12503.72224961434</v>
      </c>
      <c r="Y26" s="35">
        <f t="shared" si="1"/>
        <v>3.3850145389720421E-2</v>
      </c>
      <c r="Z26" s="33">
        <v>4395.6853393241454</v>
      </c>
      <c r="AA26" s="33">
        <v>8429.026759806924</v>
      </c>
      <c r="AB26" s="34">
        <f t="shared" si="2"/>
        <v>12824.712099131069</v>
      </c>
      <c r="AC26" s="35">
        <f t="shared" si="3"/>
        <v>2.5671543489909965E-2</v>
      </c>
      <c r="AD26" s="33">
        <v>4466.6009172770819</v>
      </c>
      <c r="AE26" s="33">
        <v>8681.4585481069116</v>
      </c>
      <c r="AF26" s="34">
        <f t="shared" si="4"/>
        <v>13148.059465383994</v>
      </c>
      <c r="AG26" s="35">
        <f t="shared" si="0"/>
        <v>2.5212836261239158E-2</v>
      </c>
    </row>
    <row r="27" spans="1:33" x14ac:dyDescent="0.3">
      <c r="A27" s="42" t="s">
        <v>102</v>
      </c>
      <c r="B27" s="42">
        <v>8054</v>
      </c>
      <c r="C27" s="43" t="s">
        <v>103</v>
      </c>
      <c r="D27" s="44">
        <v>2461.6450198019088</v>
      </c>
      <c r="E27" s="44">
        <v>6685.7532693613985</v>
      </c>
      <c r="F27" s="44">
        <v>9147.3982891633077</v>
      </c>
      <c r="G27" s="44">
        <v>2575.8608062955564</v>
      </c>
      <c r="H27" s="44">
        <v>6651.6559276876551</v>
      </c>
      <c r="I27" s="44">
        <v>9227.5167339832115</v>
      </c>
      <c r="J27" s="44">
        <v>2615.6070264520458</v>
      </c>
      <c r="K27" s="44">
        <v>6436.1422756305756</v>
      </c>
      <c r="L27" s="45">
        <v>9051.7493020826223</v>
      </c>
      <c r="M27" s="44">
        <v>2669.3299394108171</v>
      </c>
      <c r="N27" s="44">
        <v>6368.5627817364548</v>
      </c>
      <c r="O27" s="45">
        <v>9037.8927211472728</v>
      </c>
      <c r="P27" s="44">
        <v>2709.5129312173776</v>
      </c>
      <c r="Q27" s="44">
        <v>6027.4111025246693</v>
      </c>
      <c r="R27" s="45">
        <v>8736.924033742047</v>
      </c>
      <c r="S27" s="44">
        <v>2730.4474322383367</v>
      </c>
      <c r="T27" s="44">
        <v>5982.1398089046534</v>
      </c>
      <c r="U27" s="45">
        <v>8712.58724114299</v>
      </c>
      <c r="V27" s="44">
        <v>2761.606029951035</v>
      </c>
      <c r="W27" s="44">
        <v>6259.3066927266573</v>
      </c>
      <c r="X27" s="45">
        <v>9020.9127226776927</v>
      </c>
      <c r="Y27" s="46">
        <f t="shared" si="1"/>
        <v>3.5388510094764181E-2</v>
      </c>
      <c r="Z27" s="44">
        <v>2791.5233614352874</v>
      </c>
      <c r="AA27" s="44">
        <v>6464.9635923679507</v>
      </c>
      <c r="AB27" s="45">
        <f t="shared" si="2"/>
        <v>9256.4869538032381</v>
      </c>
      <c r="AC27" s="46">
        <f t="shared" si="3"/>
        <v>2.6114234597718111E-2</v>
      </c>
      <c r="AD27" s="44">
        <v>2826.6657845828681</v>
      </c>
      <c r="AE27" s="44">
        <v>6658.5757812267666</v>
      </c>
      <c r="AF27" s="45">
        <f t="shared" si="4"/>
        <v>9485.2415658096343</v>
      </c>
      <c r="AG27" s="46">
        <f t="shared" si="0"/>
        <v>2.4712897360310793E-2</v>
      </c>
    </row>
    <row r="28" spans="1:33" x14ac:dyDescent="0.3">
      <c r="A28" s="31" t="s">
        <v>104</v>
      </c>
      <c r="B28" s="31">
        <v>8055</v>
      </c>
      <c r="C28" s="32" t="s">
        <v>105</v>
      </c>
      <c r="D28" s="33">
        <v>88.268288346929282</v>
      </c>
      <c r="E28" s="33">
        <v>191.73908965381241</v>
      </c>
      <c r="F28" s="33">
        <v>280.00737800074171</v>
      </c>
      <c r="G28" s="33">
        <v>96.864852081586733</v>
      </c>
      <c r="H28" s="33">
        <v>190.76122029657796</v>
      </c>
      <c r="I28" s="33">
        <v>287.62607237816468</v>
      </c>
      <c r="J28" s="33">
        <v>96.404321881515799</v>
      </c>
      <c r="K28" s="33">
        <v>184.58055675896884</v>
      </c>
      <c r="L28" s="34">
        <v>280.98487864048462</v>
      </c>
      <c r="M28" s="33">
        <v>101.93068428236703</v>
      </c>
      <c r="N28" s="33">
        <v>182.64246091299967</v>
      </c>
      <c r="O28" s="34">
        <v>284.57314519536669</v>
      </c>
      <c r="P28" s="33">
        <v>102.54472454912828</v>
      </c>
      <c r="Q28" s="33">
        <v>172.8586549945702</v>
      </c>
      <c r="R28" s="34">
        <v>275.40337954369846</v>
      </c>
      <c r="S28" s="33">
        <v>105.16586136327837</v>
      </c>
      <c r="T28" s="33">
        <v>171.56033059095645</v>
      </c>
      <c r="U28" s="34">
        <v>276.72619195423482</v>
      </c>
      <c r="V28" s="33">
        <v>106.61186436383989</v>
      </c>
      <c r="W28" s="33">
        <v>179.50913214631078</v>
      </c>
      <c r="X28" s="34">
        <v>286.12099651015069</v>
      </c>
      <c r="Y28" s="35">
        <f t="shared" si="1"/>
        <v>3.3949820541272047E-2</v>
      </c>
      <c r="Z28" s="33">
        <v>108.67068467007972</v>
      </c>
      <c r="AA28" s="33">
        <v>185.40711628206299</v>
      </c>
      <c r="AB28" s="34">
        <f t="shared" si="2"/>
        <v>294.0778009521427</v>
      </c>
      <c r="AC28" s="35">
        <f t="shared" si="3"/>
        <v>2.780922944852704E-2</v>
      </c>
      <c r="AD28" s="33">
        <v>111.6888034212144</v>
      </c>
      <c r="AE28" s="33">
        <v>190.95967309085128</v>
      </c>
      <c r="AF28" s="34">
        <f t="shared" si="4"/>
        <v>302.64847651206571</v>
      </c>
      <c r="AG28" s="35">
        <f t="shared" si="0"/>
        <v>2.9144245271739422E-2</v>
      </c>
    </row>
    <row r="29" spans="1:33" x14ac:dyDescent="0.3">
      <c r="A29" s="36" t="s">
        <v>106</v>
      </c>
      <c r="B29" s="36">
        <v>8056</v>
      </c>
      <c r="C29" s="37" t="s">
        <v>107</v>
      </c>
      <c r="D29" s="38">
        <v>24031.832794752554</v>
      </c>
      <c r="E29" s="38">
        <v>41480.926088805289</v>
      </c>
      <c r="F29" s="38">
        <v>65512.758883557843</v>
      </c>
      <c r="G29" s="38">
        <v>24813.872049567046</v>
      </c>
      <c r="H29" s="38">
        <v>41269.373365752384</v>
      </c>
      <c r="I29" s="38">
        <v>66083.245415319427</v>
      </c>
      <c r="J29" s="38">
        <v>25431.637998367598</v>
      </c>
      <c r="K29" s="38">
        <v>39932.245668702009</v>
      </c>
      <c r="L29" s="39">
        <v>65363.883667069604</v>
      </c>
      <c r="M29" s="38">
        <v>25501.280048298697</v>
      </c>
      <c r="N29" s="38">
        <v>39512.957089180643</v>
      </c>
      <c r="O29" s="39">
        <v>65014.237137479344</v>
      </c>
      <c r="P29" s="38">
        <v>25804.01813594035</v>
      </c>
      <c r="Q29" s="38">
        <v>37396.323851261652</v>
      </c>
      <c r="R29" s="39">
        <v>63200.341987202002</v>
      </c>
      <c r="S29" s="38">
        <v>26558.794299844387</v>
      </c>
      <c r="T29" s="38">
        <v>37115.443730662191</v>
      </c>
      <c r="U29" s="39">
        <v>63674.238030506574</v>
      </c>
      <c r="V29" s="38">
        <v>26907.27862290241</v>
      </c>
      <c r="W29" s="38">
        <v>38835.09124962952</v>
      </c>
      <c r="X29" s="39">
        <v>65742.369872531926</v>
      </c>
      <c r="Y29" s="40">
        <f t="shared" si="1"/>
        <v>3.2479883638882434E-2</v>
      </c>
      <c r="Z29" s="38">
        <v>27355.042735250307</v>
      </c>
      <c r="AA29" s="38">
        <v>40111.063950083088</v>
      </c>
      <c r="AB29" s="39">
        <f t="shared" si="2"/>
        <v>67466.10668533339</v>
      </c>
      <c r="AC29" s="40">
        <f t="shared" si="3"/>
        <v>2.621957218980131E-2</v>
      </c>
      <c r="AD29" s="38">
        <v>27772.014450419367</v>
      </c>
      <c r="AE29" s="38">
        <v>41312.306737900093</v>
      </c>
      <c r="AF29" s="39">
        <f t="shared" si="4"/>
        <v>69084.32118831946</v>
      </c>
      <c r="AG29" s="40">
        <f t="shared" si="0"/>
        <v>2.3985591914078119E-2</v>
      </c>
    </row>
    <row r="30" spans="1:33" x14ac:dyDescent="0.3">
      <c r="A30" s="31" t="s">
        <v>108</v>
      </c>
      <c r="B30" s="31">
        <v>8058</v>
      </c>
      <c r="C30" s="32" t="s">
        <v>109</v>
      </c>
      <c r="D30" s="33">
        <v>686.74987853607229</v>
      </c>
      <c r="E30" s="33">
        <v>4977.1260698386905</v>
      </c>
      <c r="F30" s="33">
        <v>5663.8759483747626</v>
      </c>
      <c r="G30" s="33">
        <v>780.51145653318065</v>
      </c>
      <c r="H30" s="33">
        <v>4951.7427268825131</v>
      </c>
      <c r="I30" s="33">
        <v>5732.2541834156937</v>
      </c>
      <c r="J30" s="33">
        <v>795.18406988387312</v>
      </c>
      <c r="K30" s="33">
        <v>4791.3062625315197</v>
      </c>
      <c r="L30" s="34">
        <v>5586.4903324153929</v>
      </c>
      <c r="M30" s="33">
        <v>801.62570501344544</v>
      </c>
      <c r="N30" s="33">
        <v>4740.9975467749391</v>
      </c>
      <c r="O30" s="34">
        <v>5542.6232517883846</v>
      </c>
      <c r="P30" s="33">
        <v>805.92012843316036</v>
      </c>
      <c r="Q30" s="33">
        <v>4487.0314119258728</v>
      </c>
      <c r="R30" s="34">
        <v>5292.9515403590331</v>
      </c>
      <c r="S30" s="33">
        <v>813.18866724251552</v>
      </c>
      <c r="T30" s="33">
        <v>4453.3297590808488</v>
      </c>
      <c r="U30" s="34">
        <v>5266.5184263233641</v>
      </c>
      <c r="V30" s="33">
        <v>823.87632234632599</v>
      </c>
      <c r="W30" s="33">
        <v>4659.6632068747149</v>
      </c>
      <c r="X30" s="34">
        <v>5483.5395292210405</v>
      </c>
      <c r="Y30" s="35">
        <f t="shared" si="1"/>
        <v>4.1207698393866954E-2</v>
      </c>
      <c r="Z30" s="33">
        <v>834.66189864764692</v>
      </c>
      <c r="AA30" s="33">
        <v>4812.7619341845621</v>
      </c>
      <c r="AB30" s="34">
        <f t="shared" si="2"/>
        <v>5647.423832832209</v>
      </c>
      <c r="AC30" s="35">
        <f t="shared" si="3"/>
        <v>2.9886591085529934E-2</v>
      </c>
      <c r="AD30" s="33">
        <v>859.01124136410158</v>
      </c>
      <c r="AE30" s="33">
        <v>4956.8941259936364</v>
      </c>
      <c r="AF30" s="34">
        <f t="shared" si="4"/>
        <v>5815.9053673577382</v>
      </c>
      <c r="AG30" s="35">
        <f t="shared" si="0"/>
        <v>2.9833343399167989E-2</v>
      </c>
    </row>
    <row r="31" spans="1:33" x14ac:dyDescent="0.3">
      <c r="A31" s="31" t="s">
        <v>110</v>
      </c>
      <c r="B31" s="31">
        <v>8064</v>
      </c>
      <c r="C31" s="32" t="s">
        <v>111</v>
      </c>
      <c r="D31" s="33">
        <v>172.46125657572014</v>
      </c>
      <c r="E31" s="33">
        <v>567.71240004892081</v>
      </c>
      <c r="F31" s="33">
        <v>740.1736566246409</v>
      </c>
      <c r="G31" s="33">
        <v>182.09465101659825</v>
      </c>
      <c r="H31" s="33">
        <v>564.81706680867137</v>
      </c>
      <c r="I31" s="33">
        <v>746.91171782526965</v>
      </c>
      <c r="J31" s="33">
        <v>186.01066501695519</v>
      </c>
      <c r="K31" s="33">
        <v>546.51699384407038</v>
      </c>
      <c r="L31" s="34">
        <v>732.52765886102554</v>
      </c>
      <c r="M31" s="33">
        <v>186.95050837704088</v>
      </c>
      <c r="N31" s="33">
        <v>540.77856540870766</v>
      </c>
      <c r="O31" s="34">
        <v>727.7290737857486</v>
      </c>
      <c r="P31" s="33">
        <v>188.51691397718366</v>
      </c>
      <c r="Q31" s="33">
        <v>511.81009607054114</v>
      </c>
      <c r="R31" s="34">
        <v>700.3270100477248</v>
      </c>
      <c r="S31" s="33">
        <v>188.22140586073832</v>
      </c>
      <c r="T31" s="33">
        <v>507.9659406375074</v>
      </c>
      <c r="U31" s="34">
        <v>696.18734649824569</v>
      </c>
      <c r="V31" s="33">
        <v>189.65563568896624</v>
      </c>
      <c r="W31" s="33">
        <v>531.50122088031242</v>
      </c>
      <c r="X31" s="34">
        <v>721.15685656927872</v>
      </c>
      <c r="Y31" s="35">
        <f t="shared" si="1"/>
        <v>3.5866078572997839E-2</v>
      </c>
      <c r="Z31" s="33">
        <v>190.17925081862649</v>
      </c>
      <c r="AA31" s="33">
        <v>548.96432000738059</v>
      </c>
      <c r="AB31" s="34">
        <f t="shared" si="2"/>
        <v>739.14357082600714</v>
      </c>
      <c r="AC31" s="35">
        <f t="shared" si="3"/>
        <v>2.494147298591276E-2</v>
      </c>
      <c r="AD31" s="33">
        <v>194.69323182692202</v>
      </c>
      <c r="AE31" s="33">
        <v>565.40465754114393</v>
      </c>
      <c r="AF31" s="34">
        <f t="shared" si="4"/>
        <v>760.09788936806592</v>
      </c>
      <c r="AG31" s="35">
        <f t="shared" si="0"/>
        <v>2.8349456545555762E-2</v>
      </c>
    </row>
    <row r="32" spans="1:33" x14ac:dyDescent="0.3">
      <c r="A32" s="31" t="s">
        <v>112</v>
      </c>
      <c r="B32" s="31">
        <v>8065</v>
      </c>
      <c r="C32" s="32" t="s">
        <v>113</v>
      </c>
      <c r="D32" s="33">
        <v>501.54010048840911</v>
      </c>
      <c r="E32" s="33">
        <v>506.7563057676615</v>
      </c>
      <c r="F32" s="33">
        <v>1008.2964062560707</v>
      </c>
      <c r="G32" s="33">
        <v>509.36199849976924</v>
      </c>
      <c r="H32" s="33">
        <v>504.17184860824642</v>
      </c>
      <c r="I32" s="33">
        <v>1013.5338471080156</v>
      </c>
      <c r="J32" s="33">
        <v>519.68690387476454</v>
      </c>
      <c r="K32" s="33">
        <v>487.83668071333926</v>
      </c>
      <c r="L32" s="34">
        <v>1007.5235845881039</v>
      </c>
      <c r="M32" s="33">
        <v>511.55212994295005</v>
      </c>
      <c r="N32" s="33">
        <v>482.7143955658492</v>
      </c>
      <c r="O32" s="34">
        <v>994.2665255087993</v>
      </c>
      <c r="P32" s="33">
        <v>516.24526874976607</v>
      </c>
      <c r="Q32" s="33">
        <v>456.8563123105107</v>
      </c>
      <c r="R32" s="34">
        <v>973.10158106027677</v>
      </c>
      <c r="S32" s="33">
        <v>522.12395926678812</v>
      </c>
      <c r="T32" s="33">
        <v>453.42490935740807</v>
      </c>
      <c r="U32" s="34">
        <v>975.54886862419619</v>
      </c>
      <c r="V32" s="33">
        <v>525.62551096489767</v>
      </c>
      <c r="W32" s="33">
        <v>474.43317281972236</v>
      </c>
      <c r="X32" s="34">
        <v>1000.05868378462</v>
      </c>
      <c r="Y32" s="35">
        <f t="shared" si="1"/>
        <v>2.5124128527758582E-2</v>
      </c>
      <c r="Z32" s="33">
        <v>528.12099258519243</v>
      </c>
      <c r="AA32" s="33">
        <v>490.02123395794126</v>
      </c>
      <c r="AB32" s="34">
        <f t="shared" si="2"/>
        <v>1018.1422265431337</v>
      </c>
      <c r="AC32" s="35">
        <f t="shared" si="3"/>
        <v>1.8082481610057544E-2</v>
      </c>
      <c r="AD32" s="33">
        <v>536.00358720225483</v>
      </c>
      <c r="AE32" s="33">
        <v>504.69634888138739</v>
      </c>
      <c r="AF32" s="34">
        <f t="shared" si="4"/>
        <v>1040.6999360836421</v>
      </c>
      <c r="AG32" s="35">
        <f t="shared" si="0"/>
        <v>2.2155754817377415E-2</v>
      </c>
    </row>
    <row r="33" spans="1:33" x14ac:dyDescent="0.3">
      <c r="A33" s="31" t="s">
        <v>114</v>
      </c>
      <c r="B33" s="31">
        <v>8066</v>
      </c>
      <c r="C33" s="32" t="s">
        <v>115</v>
      </c>
      <c r="D33" s="33">
        <v>142.12395135107411</v>
      </c>
      <c r="E33" s="33">
        <v>642.07797767492991</v>
      </c>
      <c r="F33" s="33">
        <v>784.201929026004</v>
      </c>
      <c r="G33" s="33">
        <v>156.66686730327703</v>
      </c>
      <c r="H33" s="33">
        <v>638.80337998878781</v>
      </c>
      <c r="I33" s="33">
        <v>795.47024729206487</v>
      </c>
      <c r="J33" s="33">
        <v>162.33293845348595</v>
      </c>
      <c r="K33" s="33">
        <v>618.10615047715112</v>
      </c>
      <c r="L33" s="34">
        <v>780.43908893063713</v>
      </c>
      <c r="M33" s="33">
        <v>165.73258114361133</v>
      </c>
      <c r="N33" s="33">
        <v>611.61603589714105</v>
      </c>
      <c r="O33" s="34">
        <v>777.3486170407524</v>
      </c>
      <c r="P33" s="33">
        <v>165.92145018195163</v>
      </c>
      <c r="Q33" s="33">
        <v>578.85293928803867</v>
      </c>
      <c r="R33" s="34">
        <v>744.7743894699903</v>
      </c>
      <c r="S33" s="33">
        <v>166.20248478578094</v>
      </c>
      <c r="T33" s="33">
        <v>574.50523163518892</v>
      </c>
      <c r="U33" s="34">
        <v>740.70771642096986</v>
      </c>
      <c r="V33" s="33">
        <v>168.66399569528537</v>
      </c>
      <c r="W33" s="33">
        <v>601.12343680564288</v>
      </c>
      <c r="X33" s="34">
        <v>769.78743250092828</v>
      </c>
      <c r="Y33" s="35">
        <f t="shared" si="1"/>
        <v>3.9259367001695189E-2</v>
      </c>
      <c r="Z33" s="33">
        <v>172.83074263376244</v>
      </c>
      <c r="AA33" s="33">
        <v>620.87405590517039</v>
      </c>
      <c r="AB33" s="34">
        <f t="shared" si="2"/>
        <v>793.70479853893289</v>
      </c>
      <c r="AC33" s="35">
        <f t="shared" si="3"/>
        <v>3.1070091596975713E-2</v>
      </c>
      <c r="AD33" s="33">
        <v>173.90831514623676</v>
      </c>
      <c r="AE33" s="33">
        <v>639.46794019422657</v>
      </c>
      <c r="AF33" s="34">
        <f t="shared" si="4"/>
        <v>813.37625534046333</v>
      </c>
      <c r="AG33" s="35">
        <f t="shared" si="0"/>
        <v>2.4784349090168023E-2</v>
      </c>
    </row>
    <row r="34" spans="1:33" x14ac:dyDescent="0.3">
      <c r="A34" s="31" t="s">
        <v>116</v>
      </c>
      <c r="B34" s="31">
        <v>8068</v>
      </c>
      <c r="C34" s="32" t="s">
        <v>117</v>
      </c>
      <c r="D34" s="33">
        <v>2011.0099801955084</v>
      </c>
      <c r="E34" s="33">
        <v>3400.54760272371</v>
      </c>
      <c r="F34" s="33">
        <v>5411.5575829192185</v>
      </c>
      <c r="G34" s="33">
        <v>2145.4441891921588</v>
      </c>
      <c r="H34" s="33">
        <v>3383.2048099498193</v>
      </c>
      <c r="I34" s="33">
        <v>5528.6489991419785</v>
      </c>
      <c r="J34" s="33">
        <v>2199.4275167814571</v>
      </c>
      <c r="K34" s="33">
        <v>3273.5889741074452</v>
      </c>
      <c r="L34" s="34">
        <v>5473.0164908889019</v>
      </c>
      <c r="M34" s="33">
        <v>2244.7630297569358</v>
      </c>
      <c r="N34" s="33">
        <v>3239.2162898793172</v>
      </c>
      <c r="O34" s="34">
        <v>5483.9793196362534</v>
      </c>
      <c r="P34" s="33">
        <v>2269.396198656907</v>
      </c>
      <c r="Q34" s="33">
        <v>3065.6976932201837</v>
      </c>
      <c r="R34" s="34">
        <v>5335.0938918770908</v>
      </c>
      <c r="S34" s="33">
        <v>2278.6011991338719</v>
      </c>
      <c r="T34" s="33">
        <v>3042.6715385313419</v>
      </c>
      <c r="U34" s="34">
        <v>5321.2727376652138</v>
      </c>
      <c r="V34" s="33">
        <v>2302.20577593701</v>
      </c>
      <c r="W34" s="33">
        <v>3183.6458079011932</v>
      </c>
      <c r="X34" s="34">
        <v>5485.8515838382027</v>
      </c>
      <c r="Y34" s="35">
        <f t="shared" si="1"/>
        <v>3.0928474123880445E-2</v>
      </c>
      <c r="Z34" s="33">
        <v>2321.8944281438471</v>
      </c>
      <c r="AA34" s="33">
        <v>3288.2482436900909</v>
      </c>
      <c r="AB34" s="34">
        <f t="shared" si="2"/>
        <v>5610.142671833938</v>
      </c>
      <c r="AC34" s="35">
        <f t="shared" si="3"/>
        <v>2.2656662524722204E-2</v>
      </c>
      <c r="AD34" s="33">
        <v>2336.9081026167869</v>
      </c>
      <c r="AE34" s="33">
        <v>3386.7244270244519</v>
      </c>
      <c r="AF34" s="34">
        <f t="shared" si="4"/>
        <v>5723.6325296412388</v>
      </c>
      <c r="AG34" s="35">
        <f t="shared" si="0"/>
        <v>2.0229406709580289E-2</v>
      </c>
    </row>
    <row r="35" spans="1:33" x14ac:dyDescent="0.3">
      <c r="A35" s="31" t="s">
        <v>118</v>
      </c>
      <c r="B35" s="31">
        <v>8069</v>
      </c>
      <c r="C35" s="32" t="s">
        <v>119</v>
      </c>
      <c r="D35" s="33">
        <v>635.24022321475525</v>
      </c>
      <c r="E35" s="33">
        <v>2149.8750519399596</v>
      </c>
      <c r="F35" s="33">
        <v>2785.1152751547147</v>
      </c>
      <c r="G35" s="33">
        <v>705.40797717723524</v>
      </c>
      <c r="H35" s="33">
        <v>2138.9106891750657</v>
      </c>
      <c r="I35" s="33">
        <v>2844.3186663523011</v>
      </c>
      <c r="J35" s="33">
        <v>717.66512913523809</v>
      </c>
      <c r="K35" s="33">
        <v>2069.6099828457936</v>
      </c>
      <c r="L35" s="34">
        <v>2787.2751119810318</v>
      </c>
      <c r="M35" s="33">
        <v>730.81048051048754</v>
      </c>
      <c r="N35" s="33">
        <v>2047.8790780259128</v>
      </c>
      <c r="O35" s="34">
        <v>2778.6895585364005</v>
      </c>
      <c r="P35" s="33">
        <v>761.54218034721919</v>
      </c>
      <c r="Q35" s="33">
        <v>1938.1781281829199</v>
      </c>
      <c r="R35" s="34">
        <v>2699.7203085301389</v>
      </c>
      <c r="S35" s="33">
        <v>765.36065544607663</v>
      </c>
      <c r="T35" s="33">
        <v>1923.620662359474</v>
      </c>
      <c r="U35" s="34">
        <v>2688.9813178055506</v>
      </c>
      <c r="V35" s="33">
        <v>770.97681190450578</v>
      </c>
      <c r="W35" s="33">
        <v>2012.7466209083129</v>
      </c>
      <c r="X35" s="34">
        <v>2783.7234328128188</v>
      </c>
      <c r="Y35" s="35">
        <f t="shared" si="1"/>
        <v>3.5233459741768058E-2</v>
      </c>
      <c r="Z35" s="33">
        <v>790.93201060934939</v>
      </c>
      <c r="AA35" s="33">
        <v>2078.8777836935601</v>
      </c>
      <c r="AB35" s="34">
        <f t="shared" si="2"/>
        <v>2869.8097943029097</v>
      </c>
      <c r="AC35" s="35">
        <f t="shared" si="3"/>
        <v>3.0924897378582061E-2</v>
      </c>
      <c r="AD35" s="33">
        <v>807.03568282292053</v>
      </c>
      <c r="AE35" s="33">
        <v>2141.1358416578819</v>
      </c>
      <c r="AF35" s="34">
        <f t="shared" si="4"/>
        <v>2948.1715244808024</v>
      </c>
      <c r="AG35" s="35">
        <f t="shared" si="0"/>
        <v>2.7305548379357614E-2</v>
      </c>
    </row>
    <row r="36" spans="1:33" x14ac:dyDescent="0.3">
      <c r="A36" s="31" t="s">
        <v>120</v>
      </c>
      <c r="B36" s="31">
        <v>8072</v>
      </c>
      <c r="C36" s="32" t="s">
        <v>121</v>
      </c>
      <c r="D36" s="33">
        <v>5049.0303281543947</v>
      </c>
      <c r="E36" s="33">
        <v>7839.6719310268682</v>
      </c>
      <c r="F36" s="33">
        <v>12888.702259181264</v>
      </c>
      <c r="G36" s="33">
        <v>5297.4402544907689</v>
      </c>
      <c r="H36" s="33">
        <v>7799.6896041786313</v>
      </c>
      <c r="I36" s="33">
        <v>13097.129858669399</v>
      </c>
      <c r="J36" s="33">
        <v>5458.3152544038485</v>
      </c>
      <c r="K36" s="33">
        <v>7546.9796610032436</v>
      </c>
      <c r="L36" s="34">
        <v>13005.294915407092</v>
      </c>
      <c r="M36" s="33">
        <v>5520.2205852527541</v>
      </c>
      <c r="N36" s="33">
        <v>7467.7363745627099</v>
      </c>
      <c r="O36" s="34">
        <v>12987.956959815463</v>
      </c>
      <c r="P36" s="33">
        <v>5611.3042249094242</v>
      </c>
      <c r="Q36" s="33">
        <v>7067.7040766321616</v>
      </c>
      <c r="R36" s="34">
        <v>12679.008301541586</v>
      </c>
      <c r="S36" s="33">
        <v>5649.5275171338162</v>
      </c>
      <c r="T36" s="33">
        <v>7014.6192445160023</v>
      </c>
      <c r="U36" s="34">
        <v>12664.146761649819</v>
      </c>
      <c r="V36" s="33">
        <v>5710.5530026089245</v>
      </c>
      <c r="W36" s="33">
        <v>7339.6233767006615</v>
      </c>
      <c r="X36" s="34">
        <v>13050.176379309585</v>
      </c>
      <c r="Y36" s="35">
        <f t="shared" si="1"/>
        <v>3.0482086549151521E-2</v>
      </c>
      <c r="Z36" s="33">
        <v>5812.6360535654003</v>
      </c>
      <c r="AA36" s="33">
        <v>7580.7753544334346</v>
      </c>
      <c r="AB36" s="34">
        <f t="shared" si="2"/>
        <v>13393.411407998836</v>
      </c>
      <c r="AC36" s="35">
        <f t="shared" si="3"/>
        <v>2.6301179287770537E-2</v>
      </c>
      <c r="AD36" s="33">
        <v>5923.3035129721929</v>
      </c>
      <c r="AE36" s="33">
        <v>7807.8037806029979</v>
      </c>
      <c r="AF36" s="34">
        <f t="shared" si="4"/>
        <v>13731.107293575191</v>
      </c>
      <c r="AG36" s="35">
        <f t="shared" si="0"/>
        <v>2.5213582655623901E-2</v>
      </c>
    </row>
    <row r="37" spans="1:33" x14ac:dyDescent="0.3">
      <c r="A37" s="36" t="s">
        <v>122</v>
      </c>
      <c r="B37" s="36">
        <v>8073</v>
      </c>
      <c r="C37" s="37" t="s">
        <v>123</v>
      </c>
      <c r="D37" s="38">
        <v>25897.101960066255</v>
      </c>
      <c r="E37" s="38">
        <v>68990.29664282444</v>
      </c>
      <c r="F37" s="38">
        <v>94887.398602890695</v>
      </c>
      <c r="G37" s="38">
        <v>26170.854381454803</v>
      </c>
      <c r="H37" s="38">
        <v>68638.446129946038</v>
      </c>
      <c r="I37" s="38">
        <v>94809.300511400841</v>
      </c>
      <c r="J37" s="38">
        <v>26582.251117974734</v>
      </c>
      <c r="K37" s="38">
        <v>66414.560475335791</v>
      </c>
      <c r="L37" s="39">
        <v>92996.811593310529</v>
      </c>
      <c r="M37" s="38">
        <v>26803.772437639313</v>
      </c>
      <c r="N37" s="38">
        <v>65717.207590344769</v>
      </c>
      <c r="O37" s="39">
        <v>92520.980027984086</v>
      </c>
      <c r="P37" s="38">
        <v>26870.751144555928</v>
      </c>
      <c r="Q37" s="38">
        <v>62196.862970857059</v>
      </c>
      <c r="R37" s="39">
        <v>89067.614115412987</v>
      </c>
      <c r="S37" s="38">
        <v>26687.125315254252</v>
      </c>
      <c r="T37" s="38">
        <v>61729.708433377753</v>
      </c>
      <c r="U37" s="39">
        <v>88416.833748632009</v>
      </c>
      <c r="V37" s="38">
        <v>26809.608545088689</v>
      </c>
      <c r="W37" s="38">
        <v>64589.793866394903</v>
      </c>
      <c r="X37" s="39">
        <v>91399.402411483592</v>
      </c>
      <c r="Y37" s="40">
        <f t="shared" si="1"/>
        <v>3.3733040829430516E-2</v>
      </c>
      <c r="Z37" s="38">
        <v>27162.455949655472</v>
      </c>
      <c r="AA37" s="38">
        <v>66711.967680064758</v>
      </c>
      <c r="AB37" s="39">
        <f t="shared" si="2"/>
        <v>93874.42362972023</v>
      </c>
      <c r="AC37" s="40">
        <f t="shared" si="3"/>
        <v>2.7079183812318552E-2</v>
      </c>
      <c r="AD37" s="38">
        <v>27397.809759369644</v>
      </c>
      <c r="AE37" s="38">
        <v>68709.852107575512</v>
      </c>
      <c r="AF37" s="39">
        <f t="shared" si="4"/>
        <v>96107.661866945156</v>
      </c>
      <c r="AG37" s="40">
        <f t="shared" si="0"/>
        <v>2.3789634608397225E-2</v>
      </c>
    </row>
    <row r="38" spans="1:33" x14ac:dyDescent="0.3">
      <c r="A38" s="31" t="s">
        <v>124</v>
      </c>
      <c r="B38" s="31">
        <v>8074</v>
      </c>
      <c r="C38" s="32" t="s">
        <v>125</v>
      </c>
      <c r="D38" s="33">
        <v>1612.7149194000442</v>
      </c>
      <c r="E38" s="33">
        <v>3854.9032098854395</v>
      </c>
      <c r="F38" s="33">
        <v>5467.6181292854835</v>
      </c>
      <c r="G38" s="33">
        <v>1804.5782575086425</v>
      </c>
      <c r="H38" s="33">
        <v>3835.2432035150237</v>
      </c>
      <c r="I38" s="33">
        <v>5639.8214610236664</v>
      </c>
      <c r="J38" s="33">
        <v>1868.3510147776935</v>
      </c>
      <c r="K38" s="33">
        <v>3710.981323721137</v>
      </c>
      <c r="L38" s="34">
        <v>5579.3323384988307</v>
      </c>
      <c r="M38" s="33">
        <v>1907.0507221802802</v>
      </c>
      <c r="N38" s="33">
        <v>3672.0160198220651</v>
      </c>
      <c r="O38" s="34">
        <v>5579.0667420023456</v>
      </c>
      <c r="P38" s="33">
        <v>1958.8320208175437</v>
      </c>
      <c r="Q38" s="33">
        <v>3475.3131726981637</v>
      </c>
      <c r="R38" s="34">
        <v>5434.1451935157074</v>
      </c>
      <c r="S38" s="33">
        <v>1983.2705382100232</v>
      </c>
      <c r="T38" s="33">
        <v>3449.2104363182234</v>
      </c>
      <c r="U38" s="34">
        <v>5432.4809745282464</v>
      </c>
      <c r="V38" s="33">
        <v>1997.9713907320222</v>
      </c>
      <c r="W38" s="33">
        <v>3609.020627791449</v>
      </c>
      <c r="X38" s="34">
        <v>5606.9920185234714</v>
      </c>
      <c r="Y38" s="35">
        <f t="shared" si="1"/>
        <v>3.2123636477232154E-2</v>
      </c>
      <c r="Z38" s="33">
        <v>2035.2513931304172</v>
      </c>
      <c r="AA38" s="33">
        <v>3727.5992547047981</v>
      </c>
      <c r="AB38" s="34">
        <f t="shared" si="2"/>
        <v>5762.8506478352156</v>
      </c>
      <c r="AC38" s="35">
        <f t="shared" si="3"/>
        <v>2.7797191220683581E-2</v>
      </c>
      <c r="AD38" s="33">
        <v>2076.9309943957651</v>
      </c>
      <c r="AE38" s="33">
        <v>3839.2330853645531</v>
      </c>
      <c r="AF38" s="34">
        <f t="shared" si="4"/>
        <v>5916.1640797603177</v>
      </c>
      <c r="AG38" s="35">
        <f t="shared" si="0"/>
        <v>2.6603748959326934E-2</v>
      </c>
    </row>
    <row r="39" spans="1:33" x14ac:dyDescent="0.3">
      <c r="A39" s="31" t="s">
        <v>126</v>
      </c>
      <c r="B39" s="31">
        <v>8075</v>
      </c>
      <c r="C39" s="32" t="s">
        <v>127</v>
      </c>
      <c r="D39" s="33">
        <v>1882.7024006335221</v>
      </c>
      <c r="E39" s="33">
        <v>5428.813089344314</v>
      </c>
      <c r="F39" s="33">
        <v>7311.5154899778363</v>
      </c>
      <c r="G39" s="33">
        <v>2051.214586861629</v>
      </c>
      <c r="H39" s="33">
        <v>5401.1261425886578</v>
      </c>
      <c r="I39" s="33">
        <v>7452.3407294502867</v>
      </c>
      <c r="J39" s="33">
        <v>2079.8616585204072</v>
      </c>
      <c r="K39" s="33">
        <v>5226.129655568785</v>
      </c>
      <c r="L39" s="34">
        <v>7305.9913140891922</v>
      </c>
      <c r="M39" s="33">
        <v>2110.6151325070364</v>
      </c>
      <c r="N39" s="33">
        <v>5171.2552941853128</v>
      </c>
      <c r="O39" s="34">
        <v>7281.8704266923487</v>
      </c>
      <c r="P39" s="33">
        <v>2180.5476897917006</v>
      </c>
      <c r="Q39" s="33">
        <v>4894.2410779945867</v>
      </c>
      <c r="R39" s="34">
        <v>7074.7887677862873</v>
      </c>
      <c r="S39" s="33">
        <v>2202.3929174907644</v>
      </c>
      <c r="T39" s="33">
        <v>4857.4809132870178</v>
      </c>
      <c r="U39" s="34">
        <v>7059.8738307777821</v>
      </c>
      <c r="V39" s="33">
        <v>2221.3607922375213</v>
      </c>
      <c r="W39" s="33">
        <v>5082.5396532978339</v>
      </c>
      <c r="X39" s="34">
        <v>7303.9004455353552</v>
      </c>
      <c r="Y39" s="35">
        <f t="shared" si="1"/>
        <v>3.4565294027455451E-2</v>
      </c>
      <c r="Z39" s="33">
        <v>2248.7903040124352</v>
      </c>
      <c r="AA39" s="33">
        <v>5249.5324847268739</v>
      </c>
      <c r="AB39" s="34">
        <f t="shared" si="2"/>
        <v>7498.3227887393095</v>
      </c>
      <c r="AC39" s="35">
        <f t="shared" si="3"/>
        <v>2.6618974978334764E-2</v>
      </c>
      <c r="AD39" s="33">
        <v>2291.3281011304639</v>
      </c>
      <c r="AE39" s="33">
        <v>5406.745044446975</v>
      </c>
      <c r="AF39" s="34">
        <f t="shared" si="4"/>
        <v>7698.0731455774385</v>
      </c>
      <c r="AG39" s="35">
        <f t="shared" si="0"/>
        <v>2.663933821815534E-2</v>
      </c>
    </row>
    <row r="40" spans="1:33" x14ac:dyDescent="0.3">
      <c r="A40" s="31" t="s">
        <v>128</v>
      </c>
      <c r="B40" s="31">
        <v>8076</v>
      </c>
      <c r="C40" s="32" t="s">
        <v>129</v>
      </c>
      <c r="D40" s="33">
        <v>4019.0273104974954</v>
      </c>
      <c r="E40" s="33">
        <v>7348.3820306568441</v>
      </c>
      <c r="F40" s="33">
        <v>11367.40934115434</v>
      </c>
      <c r="G40" s="33">
        <v>4077.188689405617</v>
      </c>
      <c r="H40" s="33">
        <v>7310.905282300494</v>
      </c>
      <c r="I40" s="33">
        <v>11388.093971706112</v>
      </c>
      <c r="J40" s="33">
        <v>4153.9769151535947</v>
      </c>
      <c r="K40" s="33">
        <v>7074.0319511539583</v>
      </c>
      <c r="L40" s="34">
        <v>11228.008866307553</v>
      </c>
      <c r="M40" s="33">
        <v>4189.5199800418914</v>
      </c>
      <c r="N40" s="33">
        <v>6999.7546156668423</v>
      </c>
      <c r="O40" s="34">
        <v>11189.274595708734</v>
      </c>
      <c r="P40" s="33">
        <v>4154.1669850193075</v>
      </c>
      <c r="Q40" s="33">
        <v>6624.7912019350424</v>
      </c>
      <c r="R40" s="34">
        <v>10778.958186954351</v>
      </c>
      <c r="S40" s="33">
        <v>4149.6304940556247</v>
      </c>
      <c r="T40" s="33">
        <v>6575.0330449796502</v>
      </c>
      <c r="U40" s="34">
        <v>10724.663539035275</v>
      </c>
      <c r="V40" s="33">
        <v>4171.9369222775049</v>
      </c>
      <c r="W40" s="33">
        <v>6879.6700943162477</v>
      </c>
      <c r="X40" s="34">
        <v>11051.607016593753</v>
      </c>
      <c r="Y40" s="35">
        <f t="shared" si="1"/>
        <v>3.0485196702766393E-2</v>
      </c>
      <c r="Z40" s="33">
        <v>4217.4467834534144</v>
      </c>
      <c r="AA40" s="33">
        <v>7105.7097647794426</v>
      </c>
      <c r="AB40" s="34">
        <f t="shared" si="2"/>
        <v>11323.156548232857</v>
      </c>
      <c r="AC40" s="35">
        <f t="shared" si="3"/>
        <v>2.4571044847267798E-2</v>
      </c>
      <c r="AD40" s="33">
        <v>4288.0925632941917</v>
      </c>
      <c r="AE40" s="33">
        <v>7318.5109664101083</v>
      </c>
      <c r="AF40" s="34">
        <f t="shared" si="4"/>
        <v>11606.6035297043</v>
      </c>
      <c r="AG40" s="35">
        <f t="shared" si="0"/>
        <v>2.5032505756151346E-2</v>
      </c>
    </row>
    <row r="41" spans="1:33" x14ac:dyDescent="0.3">
      <c r="A41" s="36" t="s">
        <v>130</v>
      </c>
      <c r="B41" s="36">
        <v>8077</v>
      </c>
      <c r="C41" s="37" t="s">
        <v>131</v>
      </c>
      <c r="D41" s="38">
        <v>6887.8425803479131</v>
      </c>
      <c r="E41" s="38">
        <v>23757.847804763631</v>
      </c>
      <c r="F41" s="38">
        <v>30645.690385111542</v>
      </c>
      <c r="G41" s="38">
        <v>6855.1750651189514</v>
      </c>
      <c r="H41" s="38">
        <v>23636.682780959338</v>
      </c>
      <c r="I41" s="38">
        <v>30491.857846078288</v>
      </c>
      <c r="J41" s="38">
        <v>6895.7887327009039</v>
      </c>
      <c r="K41" s="38">
        <v>22870.854258856256</v>
      </c>
      <c r="L41" s="39">
        <v>29766.642991557161</v>
      </c>
      <c r="M41" s="38">
        <v>6864.4455761974414</v>
      </c>
      <c r="N41" s="38">
        <v>22630.710289138267</v>
      </c>
      <c r="O41" s="39">
        <v>29495.15586533571</v>
      </c>
      <c r="P41" s="38">
        <v>6875.7762008489281</v>
      </c>
      <c r="Q41" s="38">
        <v>21418.426594764467</v>
      </c>
      <c r="R41" s="39">
        <v>28294.202795613397</v>
      </c>
      <c r="S41" s="38">
        <v>6826.8288775764941</v>
      </c>
      <c r="T41" s="38">
        <v>21257.554893339591</v>
      </c>
      <c r="U41" s="39">
        <v>28084.383770916087</v>
      </c>
      <c r="V41" s="38">
        <v>6836.0133605136325</v>
      </c>
      <c r="W41" s="38">
        <v>22242.468391799091</v>
      </c>
      <c r="X41" s="39">
        <v>29078.481752312724</v>
      </c>
      <c r="Y41" s="40">
        <f t="shared" si="1"/>
        <v>3.5396823711906222E-2</v>
      </c>
      <c r="Z41" s="38">
        <v>6901.0881676557037</v>
      </c>
      <c r="AA41" s="38">
        <v>22973.270909455277</v>
      </c>
      <c r="AB41" s="39">
        <f t="shared" si="2"/>
        <v>29874.359077110981</v>
      </c>
      <c r="AC41" s="40">
        <f t="shared" si="3"/>
        <v>2.7369975213198838E-2</v>
      </c>
      <c r="AD41" s="38">
        <v>6951.5402587489743</v>
      </c>
      <c r="AE41" s="38">
        <v>23661.272504897679</v>
      </c>
      <c r="AF41" s="39">
        <f t="shared" si="4"/>
        <v>30612.812763646652</v>
      </c>
      <c r="AG41" s="40">
        <f t="shared" si="0"/>
        <v>2.4718645331589961E-2</v>
      </c>
    </row>
    <row r="42" spans="1:33" x14ac:dyDescent="0.3">
      <c r="A42" s="31" t="s">
        <v>132</v>
      </c>
      <c r="B42" s="31">
        <v>8081</v>
      </c>
      <c r="C42" s="32" t="s">
        <v>133</v>
      </c>
      <c r="D42" s="33">
        <v>49.956576899427247</v>
      </c>
      <c r="E42" s="33">
        <v>237.512442619187</v>
      </c>
      <c r="F42" s="33">
        <v>287.46901951861423</v>
      </c>
      <c r="G42" s="33">
        <v>52.471553310840065</v>
      </c>
      <c r="H42" s="33">
        <v>236.30112916182915</v>
      </c>
      <c r="I42" s="33">
        <v>288.7726824726692</v>
      </c>
      <c r="J42" s="33">
        <v>53.157455968498105</v>
      </c>
      <c r="K42" s="33">
        <v>228.64497257698588</v>
      </c>
      <c r="L42" s="34">
        <v>281.80242854548396</v>
      </c>
      <c r="M42" s="33">
        <v>52.014284872401376</v>
      </c>
      <c r="N42" s="33">
        <v>226.24420036492754</v>
      </c>
      <c r="O42" s="34">
        <v>278.2584852373289</v>
      </c>
      <c r="P42" s="33">
        <v>50.528162447475623</v>
      </c>
      <c r="Q42" s="33">
        <v>214.12473298874542</v>
      </c>
      <c r="R42" s="34">
        <v>264.65289543622106</v>
      </c>
      <c r="S42" s="33">
        <v>51.15184197063796</v>
      </c>
      <c r="T42" s="33">
        <v>212.51646312071193</v>
      </c>
      <c r="U42" s="34">
        <v>263.66830509134991</v>
      </c>
      <c r="V42" s="33">
        <v>51.507442283828091</v>
      </c>
      <c r="W42" s="33">
        <v>222.36286051790464</v>
      </c>
      <c r="X42" s="34">
        <v>273.87030280173275</v>
      </c>
      <c r="Y42" s="35">
        <f t="shared" si="1"/>
        <v>3.8692544812499508E-2</v>
      </c>
      <c r="Z42" s="33">
        <v>51.98526289620952</v>
      </c>
      <c r="AA42" s="33">
        <v>229.66885441378142</v>
      </c>
      <c r="AB42" s="34">
        <f t="shared" si="2"/>
        <v>281.65411730999097</v>
      </c>
      <c r="AC42" s="35">
        <f t="shared" si="3"/>
        <v>2.8421535407923582E-2</v>
      </c>
      <c r="AD42" s="33">
        <v>53.059850040492634</v>
      </c>
      <c r="AE42" s="33">
        <v>236.54695805356724</v>
      </c>
      <c r="AF42" s="34">
        <f t="shared" si="4"/>
        <v>289.60680809405989</v>
      </c>
      <c r="AG42" s="35">
        <f t="shared" si="0"/>
        <v>2.8235663160272928E-2</v>
      </c>
    </row>
    <row r="43" spans="1:33" x14ac:dyDescent="0.3">
      <c r="A43" s="31" t="s">
        <v>134</v>
      </c>
      <c r="B43" s="31">
        <v>8085</v>
      </c>
      <c r="C43" s="32" t="s">
        <v>135</v>
      </c>
      <c r="D43" s="33">
        <v>127.10191156420467</v>
      </c>
      <c r="E43" s="33">
        <v>840.69987323289956</v>
      </c>
      <c r="F43" s="33">
        <v>967.80178479710423</v>
      </c>
      <c r="G43" s="33">
        <v>133.21082696937088</v>
      </c>
      <c r="H43" s="33">
        <v>836.41230387941175</v>
      </c>
      <c r="I43" s="33">
        <v>969.62313084878269</v>
      </c>
      <c r="J43" s="33">
        <v>135.21673949047025</v>
      </c>
      <c r="K43" s="33">
        <v>809.31254523371888</v>
      </c>
      <c r="L43" s="34">
        <v>944.5292847241891</v>
      </c>
      <c r="M43" s="33">
        <v>133.66671617871165</v>
      </c>
      <c r="N43" s="33">
        <v>800.81476350876483</v>
      </c>
      <c r="O43" s="34">
        <v>934.48147968747651</v>
      </c>
      <c r="P43" s="33">
        <v>131.02255876453523</v>
      </c>
      <c r="Q43" s="33">
        <v>757.9166543636253</v>
      </c>
      <c r="R43" s="34">
        <v>888.93921312816053</v>
      </c>
      <c r="S43" s="33">
        <v>133.10105497913787</v>
      </c>
      <c r="T43" s="33">
        <v>752.2240167094883</v>
      </c>
      <c r="U43" s="34">
        <v>885.32507168862617</v>
      </c>
      <c r="V43" s="33">
        <v>133.58644500768054</v>
      </c>
      <c r="W43" s="33">
        <v>787.07635940082628</v>
      </c>
      <c r="X43" s="34">
        <v>920.66280440850687</v>
      </c>
      <c r="Y43" s="35">
        <f t="shared" si="1"/>
        <v>3.9914980214531992E-2</v>
      </c>
      <c r="Z43" s="33">
        <v>139.94138837110046</v>
      </c>
      <c r="AA43" s="33">
        <v>812.93668096701845</v>
      </c>
      <c r="AB43" s="34">
        <f t="shared" si="2"/>
        <v>952.87806933811885</v>
      </c>
      <c r="AC43" s="35">
        <f t="shared" si="3"/>
        <v>3.4991383137618071E-2</v>
      </c>
      <c r="AD43" s="33">
        <v>142.76905465099736</v>
      </c>
      <c r="AE43" s="33">
        <v>837.28244068505512</v>
      </c>
      <c r="AF43" s="34">
        <f t="shared" si="4"/>
        <v>980.05149533605254</v>
      </c>
      <c r="AG43" s="35">
        <f t="shared" si="0"/>
        <v>2.8517212088644994E-2</v>
      </c>
    </row>
    <row r="44" spans="1:33" x14ac:dyDescent="0.3">
      <c r="A44" s="31" t="s">
        <v>136</v>
      </c>
      <c r="B44" s="31">
        <v>8086</v>
      </c>
      <c r="C44" s="32" t="s">
        <v>137</v>
      </c>
      <c r="D44" s="33">
        <v>1945.1265091512173</v>
      </c>
      <c r="E44" s="33">
        <v>6887.3016487816003</v>
      </c>
      <c r="F44" s="33">
        <v>8832.4281579328181</v>
      </c>
      <c r="G44" s="33">
        <v>2087.9027547808923</v>
      </c>
      <c r="H44" s="33">
        <v>6852.1764103728146</v>
      </c>
      <c r="I44" s="33">
        <v>8940.0791651537074</v>
      </c>
      <c r="J44" s="33">
        <v>2171.7730386046978</v>
      </c>
      <c r="K44" s="33">
        <v>6630.1658946767357</v>
      </c>
      <c r="L44" s="34">
        <v>8801.9389332814335</v>
      </c>
      <c r="M44" s="33">
        <v>2227.6045765167328</v>
      </c>
      <c r="N44" s="33">
        <v>6560.5491527826298</v>
      </c>
      <c r="O44" s="34">
        <v>8788.1537292993635</v>
      </c>
      <c r="P44" s="33">
        <v>2339.3906292965553</v>
      </c>
      <c r="Q44" s="33">
        <v>6209.1131323288919</v>
      </c>
      <c r="R44" s="34">
        <v>8548.5037616254467</v>
      </c>
      <c r="S44" s="33">
        <v>2358.7834378966086</v>
      </c>
      <c r="T44" s="33">
        <v>6162.4770925844286</v>
      </c>
      <c r="U44" s="34">
        <v>8521.2605304810368</v>
      </c>
      <c r="V44" s="33">
        <v>2386.0075721662747</v>
      </c>
      <c r="W44" s="33">
        <v>6447.9994352474396</v>
      </c>
      <c r="X44" s="34">
        <v>8834.0070074137147</v>
      </c>
      <c r="Y44" s="35">
        <f t="shared" si="1"/>
        <v>3.6701902941937536E-2</v>
      </c>
      <c r="Z44" s="33">
        <v>2430.0126736623897</v>
      </c>
      <c r="AA44" s="33">
        <v>6659.8560573686564</v>
      </c>
      <c r="AB44" s="34">
        <f t="shared" si="2"/>
        <v>9089.8687310310452</v>
      </c>
      <c r="AC44" s="35">
        <f t="shared" si="3"/>
        <v>2.896326926191084E-2</v>
      </c>
      <c r="AD44" s="33">
        <v>2463.0898898878136</v>
      </c>
      <c r="AE44" s="33">
        <v>6859.3048694662202</v>
      </c>
      <c r="AF44" s="34">
        <f t="shared" si="4"/>
        <v>9322.3947593540342</v>
      </c>
      <c r="AG44" s="35">
        <f t="shared" si="0"/>
        <v>2.5580790570626233E-2</v>
      </c>
    </row>
    <row r="45" spans="1:33" x14ac:dyDescent="0.3">
      <c r="A45" s="31" t="s">
        <v>138</v>
      </c>
      <c r="B45" s="31">
        <v>8087</v>
      </c>
      <c r="C45" s="32" t="s">
        <v>139</v>
      </c>
      <c r="D45" s="33">
        <v>12.387384574198579</v>
      </c>
      <c r="E45" s="33">
        <v>1.1015016745731467</v>
      </c>
      <c r="F45" s="33">
        <v>13.488886248771726</v>
      </c>
      <c r="G45" s="33">
        <v>12.215337566223599</v>
      </c>
      <c r="H45" s="33">
        <v>1.0958840160328236</v>
      </c>
      <c r="I45" s="33">
        <v>13.311221582256422</v>
      </c>
      <c r="J45" s="33">
        <v>12.272686568881927</v>
      </c>
      <c r="K45" s="33">
        <v>1.0603773739133602</v>
      </c>
      <c r="L45" s="34">
        <v>13.333063942795286</v>
      </c>
      <c r="M45" s="33">
        <v>12.330035571540254</v>
      </c>
      <c r="N45" s="33">
        <v>1.04924341148727</v>
      </c>
      <c r="O45" s="34">
        <v>13.379278983027524</v>
      </c>
      <c r="P45" s="33">
        <v>11.469800531665353</v>
      </c>
      <c r="Q45" s="33">
        <v>0.99303745670618426</v>
      </c>
      <c r="R45" s="34">
        <v>12.462837988371538</v>
      </c>
      <c r="S45" s="33">
        <v>11.211093499961818</v>
      </c>
      <c r="T45" s="33">
        <v>0.98557884976640064</v>
      </c>
      <c r="U45" s="34">
        <v>12.196672349728217</v>
      </c>
      <c r="V45" s="33">
        <v>11.287680605183324</v>
      </c>
      <c r="W45" s="33">
        <v>1.0312430815090297</v>
      </c>
      <c r="X45" s="34">
        <v>12.318923686692354</v>
      </c>
      <c r="Y45" s="35">
        <f t="shared" si="1"/>
        <v>1.0023335337598027E-2</v>
      </c>
      <c r="Z45" s="33">
        <v>11.52736504041849</v>
      </c>
      <c r="AA45" s="33">
        <v>1.0651257885452772</v>
      </c>
      <c r="AB45" s="34">
        <f t="shared" si="2"/>
        <v>12.592490828963767</v>
      </c>
      <c r="AC45" s="35">
        <f t="shared" si="3"/>
        <v>2.2207065262279002E-2</v>
      </c>
      <c r="AD45" s="33">
        <v>11.562972817604393</v>
      </c>
      <c r="AE45" s="33">
        <v>1.0970240865610112</v>
      </c>
      <c r="AF45" s="34">
        <f t="shared" si="4"/>
        <v>12.659996904165405</v>
      </c>
      <c r="AG45" s="35">
        <f t="shared" si="0"/>
        <v>5.3608198821450959E-3</v>
      </c>
    </row>
    <row r="46" spans="1:33" x14ac:dyDescent="0.3">
      <c r="A46" s="31" t="s">
        <v>140</v>
      </c>
      <c r="B46" s="31">
        <v>8088</v>
      </c>
      <c r="C46" s="32" t="s">
        <v>141</v>
      </c>
      <c r="D46" s="33">
        <v>2568.2909984127932</v>
      </c>
      <c r="E46" s="33">
        <v>4799.3463968315173</v>
      </c>
      <c r="F46" s="33">
        <v>7367.63739524431</v>
      </c>
      <c r="G46" s="33">
        <v>2686.7396508284746</v>
      </c>
      <c r="H46" s="33">
        <v>4774.8697302076762</v>
      </c>
      <c r="I46" s="33">
        <v>7461.6093810361508</v>
      </c>
      <c r="J46" s="33">
        <v>2761.5299352464631</v>
      </c>
      <c r="K46" s="33">
        <v>4620.1639509489478</v>
      </c>
      <c r="L46" s="34">
        <v>7381.6938861954113</v>
      </c>
      <c r="M46" s="33">
        <v>2775.8985120558305</v>
      </c>
      <c r="N46" s="33">
        <v>4571.6522294639844</v>
      </c>
      <c r="O46" s="34">
        <v>7347.5507415198153</v>
      </c>
      <c r="P46" s="33">
        <v>2850.1361589042281</v>
      </c>
      <c r="Q46" s="33">
        <v>4326.7575980839529</v>
      </c>
      <c r="R46" s="34">
        <v>7176.8937569881809</v>
      </c>
      <c r="S46" s="33">
        <v>2866.5584044428483</v>
      </c>
      <c r="T46" s="33">
        <v>4294.2597461349715</v>
      </c>
      <c r="U46" s="34">
        <v>7160.8181505778193</v>
      </c>
      <c r="V46" s="33">
        <v>2898.8935662446588</v>
      </c>
      <c r="W46" s="33">
        <v>4493.2230987444846</v>
      </c>
      <c r="X46" s="34">
        <v>7392.1166649891438</v>
      </c>
      <c r="Y46" s="35">
        <f t="shared" si="1"/>
        <v>3.2300570905108295E-2</v>
      </c>
      <c r="Z46" s="33">
        <v>2940.02099370422</v>
      </c>
      <c r="AA46" s="33">
        <v>4640.8532401079356</v>
      </c>
      <c r="AB46" s="34">
        <f t="shared" si="2"/>
        <v>7580.8742338121556</v>
      </c>
      <c r="AC46" s="35">
        <f t="shared" si="3"/>
        <v>2.5534982384276095E-2</v>
      </c>
      <c r="AD46" s="33">
        <v>2977.1378956803846</v>
      </c>
      <c r="AE46" s="33">
        <v>4779.8371247272635</v>
      </c>
      <c r="AF46" s="34">
        <f t="shared" si="4"/>
        <v>7756.9750204076481</v>
      </c>
      <c r="AG46" s="35">
        <f t="shared" si="0"/>
        <v>2.3229614575328128E-2</v>
      </c>
    </row>
    <row r="47" spans="1:33" x14ac:dyDescent="0.3">
      <c r="A47" s="36" t="s">
        <v>142</v>
      </c>
      <c r="B47" s="36">
        <v>8089</v>
      </c>
      <c r="C47" s="37" t="s">
        <v>143</v>
      </c>
      <c r="D47" s="38">
        <v>8093.1557683715964</v>
      </c>
      <c r="E47" s="38">
        <v>27665.59446736352</v>
      </c>
      <c r="F47" s="38">
        <v>35758.750235735119</v>
      </c>
      <c r="G47" s="38">
        <v>8212.9237873102429</v>
      </c>
      <c r="H47" s="38">
        <v>27524.499935579966</v>
      </c>
      <c r="I47" s="38">
        <v>35737.423722890206</v>
      </c>
      <c r="J47" s="38">
        <v>8359.0444052566345</v>
      </c>
      <c r="K47" s="38">
        <v>26632.706137667177</v>
      </c>
      <c r="L47" s="39">
        <v>34991.750542923808</v>
      </c>
      <c r="M47" s="38">
        <v>8429.7420674222394</v>
      </c>
      <c r="N47" s="38">
        <v>26353.062723221672</v>
      </c>
      <c r="O47" s="39">
        <v>34782.80479064391</v>
      </c>
      <c r="P47" s="38">
        <v>8448.8249839450891</v>
      </c>
      <c r="Q47" s="38">
        <v>24941.379756668699</v>
      </c>
      <c r="R47" s="39">
        <v>33390.204740613786</v>
      </c>
      <c r="S47" s="38">
        <v>8416.8886757298169</v>
      </c>
      <c r="T47" s="38">
        <v>24754.047499577504</v>
      </c>
      <c r="U47" s="39">
        <v>33170.936175307317</v>
      </c>
      <c r="V47" s="38">
        <v>8480.1594251471779</v>
      </c>
      <c r="W47" s="38">
        <v>25900.961885835561</v>
      </c>
      <c r="X47" s="39">
        <v>34381.121310982737</v>
      </c>
      <c r="Y47" s="40">
        <f t="shared" si="1"/>
        <v>3.6483297585562013E-2</v>
      </c>
      <c r="Z47" s="38">
        <v>8550.3417007973294</v>
      </c>
      <c r="AA47" s="38">
        <v>26751.968519742459</v>
      </c>
      <c r="AB47" s="39">
        <f t="shared" si="2"/>
        <v>35302.310220539788</v>
      </c>
      <c r="AC47" s="40">
        <f t="shared" si="3"/>
        <v>2.6793451592946882E-2</v>
      </c>
      <c r="AD47" s="38">
        <v>8680.4243303533385</v>
      </c>
      <c r="AE47" s="38">
        <v>27553.134235123129</v>
      </c>
      <c r="AF47" s="39">
        <f t="shared" si="4"/>
        <v>36233.558565476465</v>
      </c>
      <c r="AG47" s="40">
        <f t="shared" si="0"/>
        <v>2.6379246545594537E-2</v>
      </c>
    </row>
    <row r="48" spans="1:33" x14ac:dyDescent="0.3">
      <c r="A48" s="31" t="s">
        <v>144</v>
      </c>
      <c r="B48" s="31">
        <v>8091</v>
      </c>
      <c r="C48" s="32" t="s">
        <v>145</v>
      </c>
      <c r="D48" s="33">
        <v>777.23132972991596</v>
      </c>
      <c r="E48" s="33">
        <v>1757.3379369115553</v>
      </c>
      <c r="F48" s="33">
        <v>2534.5692666414711</v>
      </c>
      <c r="G48" s="33">
        <v>858.51807355207075</v>
      </c>
      <c r="H48" s="33">
        <v>1748.3755134333064</v>
      </c>
      <c r="I48" s="33">
        <v>2606.8935869853772</v>
      </c>
      <c r="J48" s="33">
        <v>884.52983157516019</v>
      </c>
      <c r="K48" s="33">
        <v>1691.7281467980674</v>
      </c>
      <c r="L48" s="34">
        <v>2576.2579783732276</v>
      </c>
      <c r="M48" s="33">
        <v>903.25829735178456</v>
      </c>
      <c r="N48" s="33">
        <v>1673.9650012566879</v>
      </c>
      <c r="O48" s="34">
        <v>2577.2232986084723</v>
      </c>
      <c r="P48" s="33">
        <v>923.67752739990976</v>
      </c>
      <c r="Q48" s="33">
        <v>1584.2939105110349</v>
      </c>
      <c r="R48" s="34">
        <v>2507.9714379109446</v>
      </c>
      <c r="S48" s="33">
        <v>933.94033496362454</v>
      </c>
      <c r="T48" s="33">
        <v>1572.3944343374078</v>
      </c>
      <c r="U48" s="34">
        <v>2506.3347693010323</v>
      </c>
      <c r="V48" s="33">
        <v>936.53599148131639</v>
      </c>
      <c r="W48" s="33">
        <v>1645.2472394249173</v>
      </c>
      <c r="X48" s="34">
        <v>2581.7832309062337</v>
      </c>
      <c r="Y48" s="35">
        <f t="shared" si="1"/>
        <v>3.0103106149001135E-2</v>
      </c>
      <c r="Z48" s="33">
        <v>945.97292747916583</v>
      </c>
      <c r="AA48" s="33">
        <v>1699.3037768361128</v>
      </c>
      <c r="AB48" s="34">
        <f t="shared" si="2"/>
        <v>2645.2767043152785</v>
      </c>
      <c r="AC48" s="35">
        <f t="shared" si="3"/>
        <v>2.4592875439336526E-2</v>
      </c>
      <c r="AD48" s="33">
        <v>961.21940613574191</v>
      </c>
      <c r="AE48" s="33">
        <v>1750.1943841950917</v>
      </c>
      <c r="AF48" s="34">
        <f t="shared" si="4"/>
        <v>2711.4137903308338</v>
      </c>
      <c r="AG48" s="35">
        <f t="shared" si="0"/>
        <v>2.5001953824968393E-2</v>
      </c>
    </row>
    <row r="49" spans="1:33" x14ac:dyDescent="0.3">
      <c r="A49" s="31" t="s">
        <v>146</v>
      </c>
      <c r="B49" s="31">
        <v>8094</v>
      </c>
      <c r="C49" s="32" t="s">
        <v>147</v>
      </c>
      <c r="D49" s="33">
        <v>83.823257688946399</v>
      </c>
      <c r="E49" s="33">
        <v>627.38821457035613</v>
      </c>
      <c r="F49" s="33">
        <v>711.21147225930258</v>
      </c>
      <c r="G49" s="33">
        <v>93.14226296223292</v>
      </c>
      <c r="H49" s="33">
        <v>624.18853467604731</v>
      </c>
      <c r="I49" s="33">
        <v>717.33079763828027</v>
      </c>
      <c r="J49" s="33">
        <v>94.43258676930337</v>
      </c>
      <c r="K49" s="33">
        <v>603.96482615254342</v>
      </c>
      <c r="L49" s="34">
        <v>698.39741292184681</v>
      </c>
      <c r="M49" s="33">
        <v>93.81131975108427</v>
      </c>
      <c r="N49" s="33">
        <v>597.62319547794175</v>
      </c>
      <c r="O49" s="34">
        <v>691.43451522902603</v>
      </c>
      <c r="P49" s="33">
        <v>97.825660484192312</v>
      </c>
      <c r="Q49" s="33">
        <v>565.6096684608425</v>
      </c>
      <c r="R49" s="34">
        <v>663.43532894503483</v>
      </c>
      <c r="S49" s="33">
        <v>98.139714700734089</v>
      </c>
      <c r="T49" s="33">
        <v>561.36142971627021</v>
      </c>
      <c r="U49" s="34">
        <v>659.5011444170043</v>
      </c>
      <c r="V49" s="33">
        <v>99.071997703943467</v>
      </c>
      <c r="W49" s="33">
        <v>587.37065102211807</v>
      </c>
      <c r="X49" s="34">
        <v>686.44264872606152</v>
      </c>
      <c r="Y49" s="35">
        <f t="shared" si="1"/>
        <v>4.0851338223034217E-2</v>
      </c>
      <c r="Z49" s="33">
        <v>100.8595594266863</v>
      </c>
      <c r="AA49" s="33">
        <v>606.66940613342501</v>
      </c>
      <c r="AB49" s="34">
        <f t="shared" si="2"/>
        <v>707.52896556011137</v>
      </c>
      <c r="AC49" s="35">
        <f t="shared" si="3"/>
        <v>3.0718249912331297E-2</v>
      </c>
      <c r="AD49" s="33">
        <v>102.68219489920108</v>
      </c>
      <c r="AE49" s="33">
        <v>624.83789075936056</v>
      </c>
      <c r="AF49" s="34">
        <f t="shared" si="4"/>
        <v>727.52008565856158</v>
      </c>
      <c r="AG49" s="35">
        <f t="shared" si="0"/>
        <v>2.8254843365492999E-2</v>
      </c>
    </row>
    <row r="50" spans="1:33" x14ac:dyDescent="0.3">
      <c r="A50" s="31" t="s">
        <v>148</v>
      </c>
      <c r="B50" s="31">
        <v>8095</v>
      </c>
      <c r="C50" s="32" t="s">
        <v>149</v>
      </c>
      <c r="D50" s="33">
        <v>9.4131966270256804</v>
      </c>
      <c r="E50" s="33">
        <v>35.769398368184561</v>
      </c>
      <c r="F50" s="33">
        <v>45.182594995210238</v>
      </c>
      <c r="G50" s="33">
        <v>9.036668761944652</v>
      </c>
      <c r="H50" s="33">
        <v>35.586974436506821</v>
      </c>
      <c r="I50" s="33">
        <v>44.623643198451475</v>
      </c>
      <c r="J50" s="33">
        <v>9.6642152037463642</v>
      </c>
      <c r="K50" s="33">
        <v>34.433956464764002</v>
      </c>
      <c r="L50" s="34">
        <v>44.098171668510368</v>
      </c>
      <c r="M50" s="33">
        <v>9.9152337804670498</v>
      </c>
      <c r="N50" s="33">
        <v>34.072399921883978</v>
      </c>
      <c r="O50" s="34">
        <v>43.987633702351026</v>
      </c>
      <c r="P50" s="33">
        <v>10.417270933908419</v>
      </c>
      <c r="Q50" s="33">
        <v>32.247206884380958</v>
      </c>
      <c r="R50" s="34">
        <v>42.664477818289377</v>
      </c>
      <c r="S50" s="33">
        <v>11.245167285309792</v>
      </c>
      <c r="T50" s="33">
        <v>32.005001276292155</v>
      </c>
      <c r="U50" s="34">
        <v>43.250168561601946</v>
      </c>
      <c r="V50" s="33">
        <v>11.306282324903869</v>
      </c>
      <c r="W50" s="33">
        <v>33.487869740393371</v>
      </c>
      <c r="X50" s="34">
        <v>44.79415206529724</v>
      </c>
      <c r="Y50" s="35">
        <f t="shared" si="1"/>
        <v>3.5698901415752271E-2</v>
      </c>
      <c r="Z50" s="33">
        <v>11.120501812155981</v>
      </c>
      <c r="AA50" s="33">
        <v>34.588153175043331</v>
      </c>
      <c r="AB50" s="34">
        <f t="shared" si="2"/>
        <v>45.70865498719931</v>
      </c>
      <c r="AC50" s="35">
        <f t="shared" si="3"/>
        <v>2.0415676594770282E-2</v>
      </c>
      <c r="AD50" s="33">
        <v>11.058128469971384</v>
      </c>
      <c r="AE50" s="33">
        <v>35.62399629297051</v>
      </c>
      <c r="AF50" s="34">
        <f t="shared" si="4"/>
        <v>46.682124762941896</v>
      </c>
      <c r="AG50" s="35">
        <f t="shared" si="0"/>
        <v>2.1297274575574399E-2</v>
      </c>
    </row>
    <row r="51" spans="1:33" x14ac:dyDescent="0.3">
      <c r="A51" s="42" t="s">
        <v>150</v>
      </c>
      <c r="B51" s="42">
        <v>8096</v>
      </c>
      <c r="C51" s="43" t="s">
        <v>151</v>
      </c>
      <c r="D51" s="44">
        <v>21609.920231754084</v>
      </c>
      <c r="E51" s="44">
        <v>47273.844711030186</v>
      </c>
      <c r="F51" s="44">
        <v>68883.76494278427</v>
      </c>
      <c r="G51" s="44">
        <v>22043.291893001679</v>
      </c>
      <c r="H51" s="44">
        <v>47032.748103003934</v>
      </c>
      <c r="I51" s="44">
        <v>69076.039996005609</v>
      </c>
      <c r="J51" s="44">
        <v>22239.812375597881</v>
      </c>
      <c r="K51" s="44">
        <v>45508.887064466609</v>
      </c>
      <c r="L51" s="45">
        <v>67748.699440064491</v>
      </c>
      <c r="M51" s="44">
        <v>21885.268893003613</v>
      </c>
      <c r="N51" s="44">
        <v>45031.043750289711</v>
      </c>
      <c r="O51" s="45">
        <v>66916.31264329332</v>
      </c>
      <c r="P51" s="44">
        <v>21981.695920844661</v>
      </c>
      <c r="Q51" s="44">
        <v>42618.817205844469</v>
      </c>
      <c r="R51" s="45">
        <v>64600.513126689126</v>
      </c>
      <c r="S51" s="44">
        <v>21860.892662828068</v>
      </c>
      <c r="T51" s="44">
        <v>42298.711449883107</v>
      </c>
      <c r="U51" s="45">
        <v>64159.604112711175</v>
      </c>
      <c r="V51" s="44">
        <v>22005.187735427553</v>
      </c>
      <c r="W51" s="44">
        <v>44258.51219288796</v>
      </c>
      <c r="X51" s="45">
        <v>66263.699928315516</v>
      </c>
      <c r="Y51" s="46">
        <f t="shared" si="1"/>
        <v>3.2794713195362091E-2</v>
      </c>
      <c r="Z51" s="44">
        <v>22311.1706386894</v>
      </c>
      <c r="AA51" s="44">
        <v>45712.67778137116</v>
      </c>
      <c r="AB51" s="45">
        <f t="shared" si="2"/>
        <v>68023.84842006056</v>
      </c>
      <c r="AC51" s="46">
        <f t="shared" si="3"/>
        <v>2.6562786165716501E-2</v>
      </c>
      <c r="AD51" s="44">
        <v>22580.481531124835</v>
      </c>
      <c r="AE51" s="44">
        <v>47081.677231622867</v>
      </c>
      <c r="AF51" s="45">
        <f t="shared" si="4"/>
        <v>69662.158762747698</v>
      </c>
      <c r="AG51" s="46">
        <f t="shared" si="0"/>
        <v>2.4084352484297078E-2</v>
      </c>
    </row>
    <row r="52" spans="1:33" x14ac:dyDescent="0.3">
      <c r="A52" s="31" t="s">
        <v>152</v>
      </c>
      <c r="B52" s="31">
        <v>8097</v>
      </c>
      <c r="C52" s="32" t="s">
        <v>153</v>
      </c>
      <c r="D52" s="33">
        <v>135.59581950350002</v>
      </c>
      <c r="E52" s="33">
        <v>654.3024676610371</v>
      </c>
      <c r="F52" s="33">
        <v>789.89828716453712</v>
      </c>
      <c r="G52" s="33">
        <v>145.68787477189031</v>
      </c>
      <c r="H52" s="33">
        <v>650.96552507596584</v>
      </c>
      <c r="I52" s="33">
        <v>796.65339984785612</v>
      </c>
      <c r="J52" s="33">
        <v>154.22730615283592</v>
      </c>
      <c r="K52" s="33">
        <v>629.87424206350454</v>
      </c>
      <c r="L52" s="34">
        <v>784.10154821634046</v>
      </c>
      <c r="M52" s="33">
        <v>159.79087508284593</v>
      </c>
      <c r="N52" s="33">
        <v>623.26056252183776</v>
      </c>
      <c r="O52" s="34">
        <v>783.05143760468366</v>
      </c>
      <c r="P52" s="33">
        <v>175.83465525310737</v>
      </c>
      <c r="Q52" s="33">
        <v>589.8736909814379</v>
      </c>
      <c r="R52" s="34">
        <v>765.70834623454527</v>
      </c>
      <c r="S52" s="33">
        <v>178.85406297844733</v>
      </c>
      <c r="T52" s="33">
        <v>585.44320754353907</v>
      </c>
      <c r="U52" s="34">
        <v>764.29727052198643</v>
      </c>
      <c r="V52" s="33">
        <v>182.0350978229134</v>
      </c>
      <c r="W52" s="33">
        <v>612.56819536947773</v>
      </c>
      <c r="X52" s="34">
        <v>794.60329319239111</v>
      </c>
      <c r="Y52" s="35">
        <f t="shared" si="1"/>
        <v>3.9652140389964785E-2</v>
      </c>
      <c r="Z52" s="33">
        <v>182.64731349226921</v>
      </c>
      <c r="AA52" s="33">
        <v>632.69484550230106</v>
      </c>
      <c r="AB52" s="34">
        <f t="shared" si="2"/>
        <v>815.34215899457024</v>
      </c>
      <c r="AC52" s="35">
        <f t="shared" si="3"/>
        <v>2.6099647433952766E-2</v>
      </c>
      <c r="AD52" s="33">
        <v>186.0033120696279</v>
      </c>
      <c r="AE52" s="33">
        <v>651.64273780938254</v>
      </c>
      <c r="AF52" s="34">
        <f t="shared" si="4"/>
        <v>837.64604987901043</v>
      </c>
      <c r="AG52" s="35">
        <f t="shared" si="0"/>
        <v>2.7355252808151098E-2</v>
      </c>
    </row>
    <row r="53" spans="1:33" x14ac:dyDescent="0.3">
      <c r="A53" s="36" t="s">
        <v>154</v>
      </c>
      <c r="B53" s="36">
        <v>8101</v>
      </c>
      <c r="C53" s="37" t="s">
        <v>155</v>
      </c>
      <c r="D53" s="38">
        <v>63783.407850312957</v>
      </c>
      <c r="E53" s="38">
        <v>143460.60866876901</v>
      </c>
      <c r="F53" s="38">
        <v>207244.01651908195</v>
      </c>
      <c r="G53" s="38">
        <v>65231.032887641042</v>
      </c>
      <c r="H53" s="38">
        <v>142728.95956455829</v>
      </c>
      <c r="I53" s="38">
        <v>207959.99245219934</v>
      </c>
      <c r="J53" s="38">
        <v>66067.941112346336</v>
      </c>
      <c r="K53" s="38">
        <v>138104.54127466661</v>
      </c>
      <c r="L53" s="39">
        <v>204172.48238701295</v>
      </c>
      <c r="M53" s="38">
        <v>66480.226368005824</v>
      </c>
      <c r="N53" s="38">
        <v>136654.44359128262</v>
      </c>
      <c r="O53" s="39">
        <v>203134.66995928844</v>
      </c>
      <c r="P53" s="38">
        <v>66072.824790561761</v>
      </c>
      <c r="Q53" s="38">
        <v>129334.12745392535</v>
      </c>
      <c r="R53" s="39">
        <v>195406.95224448713</v>
      </c>
      <c r="S53" s="38">
        <v>65574.851510808454</v>
      </c>
      <c r="T53" s="38">
        <v>128362.7115077652</v>
      </c>
      <c r="U53" s="39">
        <v>193937.56301857365</v>
      </c>
      <c r="V53" s="38">
        <v>66519.030459341724</v>
      </c>
      <c r="W53" s="38">
        <v>134310.06377368703</v>
      </c>
      <c r="X53" s="39">
        <v>200829.09423302877</v>
      </c>
      <c r="Y53" s="40">
        <f t="shared" si="1"/>
        <v>3.5534793297341327E-2</v>
      </c>
      <c r="Z53" s="38">
        <v>67478.760802328048</v>
      </c>
      <c r="AA53" s="38">
        <v>138722.97923897608</v>
      </c>
      <c r="AB53" s="39">
        <f t="shared" si="2"/>
        <v>206201.74004130415</v>
      </c>
      <c r="AC53" s="40">
        <f t="shared" si="3"/>
        <v>2.6752328036899531E-2</v>
      </c>
      <c r="AD53" s="38">
        <v>67859.544559350965</v>
      </c>
      <c r="AE53" s="38">
        <v>142877.44341680707</v>
      </c>
      <c r="AF53" s="39">
        <f t="shared" si="4"/>
        <v>210736.98797615804</v>
      </c>
      <c r="AG53" s="40">
        <f t="shared" si="0"/>
        <v>2.1994227274442224E-2</v>
      </c>
    </row>
    <row r="54" spans="1:33" x14ac:dyDescent="0.3">
      <c r="A54" s="42" t="s">
        <v>156</v>
      </c>
      <c r="B54" s="42">
        <v>8105</v>
      </c>
      <c r="C54" s="43" t="s">
        <v>157</v>
      </c>
      <c r="D54" s="44">
        <v>491.44380377462431</v>
      </c>
      <c r="E54" s="44">
        <v>1954.1684821190472</v>
      </c>
      <c r="F54" s="44">
        <v>2445.6122858936715</v>
      </c>
      <c r="G54" s="44">
        <v>490.40154325762387</v>
      </c>
      <c r="H54" s="44">
        <v>1944.20222286024</v>
      </c>
      <c r="I54" s="44">
        <v>2434.6037661178639</v>
      </c>
      <c r="J54" s="44">
        <v>496.69104637745414</v>
      </c>
      <c r="K54" s="44">
        <v>1881.2100708395683</v>
      </c>
      <c r="L54" s="45">
        <v>2377.9011172170226</v>
      </c>
      <c r="M54" s="44">
        <v>492.84546446990078</v>
      </c>
      <c r="N54" s="44">
        <v>1861.4573650957529</v>
      </c>
      <c r="O54" s="45">
        <v>2354.3028295656536</v>
      </c>
      <c r="P54" s="44">
        <v>489.21552266931303</v>
      </c>
      <c r="Q54" s="44">
        <v>1761.7426684447746</v>
      </c>
      <c r="R54" s="45">
        <v>2250.9581911140876</v>
      </c>
      <c r="S54" s="44">
        <v>485.96789586997045</v>
      </c>
      <c r="T54" s="44">
        <v>1748.5103920545569</v>
      </c>
      <c r="U54" s="45">
        <v>2234.4782879245272</v>
      </c>
      <c r="V54" s="44">
        <v>487.52783991565843</v>
      </c>
      <c r="W54" s="44">
        <v>1829.5230718275643</v>
      </c>
      <c r="X54" s="45">
        <v>2317.050911743223</v>
      </c>
      <c r="Y54" s="46">
        <f t="shared" si="1"/>
        <v>3.6953871633003121E-2</v>
      </c>
      <c r="Z54" s="44">
        <v>491.61728532679797</v>
      </c>
      <c r="AA54" s="44">
        <v>1889.6342089302534</v>
      </c>
      <c r="AB54" s="45">
        <f t="shared" si="2"/>
        <v>2381.2514942570515</v>
      </c>
      <c r="AC54" s="46">
        <f t="shared" si="3"/>
        <v>2.7707885997864112E-2</v>
      </c>
      <c r="AD54" s="44">
        <v>497.53083126478674</v>
      </c>
      <c r="AE54" s="44">
        <v>1946.224816148117</v>
      </c>
      <c r="AF54" s="45">
        <f t="shared" si="4"/>
        <v>2443.7556474129037</v>
      </c>
      <c r="AG54" s="46">
        <f t="shared" si="0"/>
        <v>2.6248446796399261E-2</v>
      </c>
    </row>
    <row r="55" spans="1:33" x14ac:dyDescent="0.3">
      <c r="A55" s="31" t="s">
        <v>158</v>
      </c>
      <c r="B55" s="31">
        <v>8106</v>
      </c>
      <c r="C55" s="32" t="s">
        <v>159</v>
      </c>
      <c r="D55" s="33">
        <v>1475.4913908605727</v>
      </c>
      <c r="E55" s="33">
        <v>5025.6038255012609</v>
      </c>
      <c r="F55" s="33">
        <v>6501.0952163618331</v>
      </c>
      <c r="G55" s="33">
        <v>1547.9962497111694</v>
      </c>
      <c r="H55" s="33">
        <v>4999.9732459912047</v>
      </c>
      <c r="I55" s="33">
        <v>6547.9694957023739</v>
      </c>
      <c r="J55" s="33">
        <v>1582.3222215341571</v>
      </c>
      <c r="K55" s="33">
        <v>4837.9741128210899</v>
      </c>
      <c r="L55" s="34">
        <v>6420.2963343552474</v>
      </c>
      <c r="M55" s="33">
        <v>1605.9651102897865</v>
      </c>
      <c r="N55" s="33">
        <v>4787.1753846364691</v>
      </c>
      <c r="O55" s="34">
        <v>6393.140494926256</v>
      </c>
      <c r="P55" s="33">
        <v>1659.7307906451808</v>
      </c>
      <c r="Q55" s="33">
        <v>4530.735591684509</v>
      </c>
      <c r="R55" s="34">
        <v>6190.4663823296896</v>
      </c>
      <c r="S55" s="33">
        <v>1674.4620289221364</v>
      </c>
      <c r="T55" s="33">
        <v>4496.7056810318427</v>
      </c>
      <c r="U55" s="34">
        <v>6171.1677099539793</v>
      </c>
      <c r="V55" s="33">
        <v>1705.3385166115495</v>
      </c>
      <c r="W55" s="33">
        <v>4705.0488393146152</v>
      </c>
      <c r="X55" s="34">
        <v>6410.3873559261647</v>
      </c>
      <c r="Y55" s="35">
        <f t="shared" si="1"/>
        <v>3.8764081161872799E-2</v>
      </c>
      <c r="Z55" s="33">
        <v>1737.8644168653648</v>
      </c>
      <c r="AA55" s="33">
        <v>4859.6387650772713</v>
      </c>
      <c r="AB55" s="34">
        <f t="shared" si="2"/>
        <v>6597.5031819426358</v>
      </c>
      <c r="AC55" s="35">
        <f t="shared" si="3"/>
        <v>2.9189472589903565E-2</v>
      </c>
      <c r="AD55" s="33">
        <v>1769.2318798959418</v>
      </c>
      <c r="AE55" s="33">
        <v>5005.1748202965919</v>
      </c>
      <c r="AF55" s="34">
        <f t="shared" si="4"/>
        <v>6774.4067001925341</v>
      </c>
      <c r="AG55" s="35">
        <f t="shared" si="0"/>
        <v>2.6813707151227106E-2</v>
      </c>
    </row>
    <row r="56" spans="1:33" x14ac:dyDescent="0.3">
      <c r="A56" s="31" t="s">
        <v>160</v>
      </c>
      <c r="B56" s="31">
        <v>8107</v>
      </c>
      <c r="C56" s="32" t="s">
        <v>161</v>
      </c>
      <c r="D56" s="33">
        <v>3779.9433510769677</v>
      </c>
      <c r="E56" s="33">
        <v>9658.1546377021859</v>
      </c>
      <c r="F56" s="33">
        <v>13438.097988779155</v>
      </c>
      <c r="G56" s="33">
        <v>4034.4131809415562</v>
      </c>
      <c r="H56" s="33">
        <v>9608.8980490499052</v>
      </c>
      <c r="I56" s="33">
        <v>13643.311229991461</v>
      </c>
      <c r="J56" s="33">
        <v>4131.9940341846932</v>
      </c>
      <c r="K56" s="33">
        <v>9297.5697522606879</v>
      </c>
      <c r="L56" s="34">
        <v>13429.563786445382</v>
      </c>
      <c r="M56" s="33">
        <v>4194.2237399954365</v>
      </c>
      <c r="N56" s="33">
        <v>9199.9452698619516</v>
      </c>
      <c r="O56" s="34">
        <v>13394.169009857389</v>
      </c>
      <c r="P56" s="33">
        <v>4260.8358194548236</v>
      </c>
      <c r="Q56" s="33">
        <v>8707.1218676226545</v>
      </c>
      <c r="R56" s="34">
        <v>12967.957687077478</v>
      </c>
      <c r="S56" s="33">
        <v>4309.8739786424412</v>
      </c>
      <c r="T56" s="33">
        <v>8641.7235292731602</v>
      </c>
      <c r="U56" s="34">
        <v>12951.597507915601</v>
      </c>
      <c r="V56" s="33">
        <v>4379.2852045349073</v>
      </c>
      <c r="W56" s="33">
        <v>9042.115305121426</v>
      </c>
      <c r="X56" s="34">
        <v>13421.400509656334</v>
      </c>
      <c r="Y56" s="35">
        <f t="shared" si="1"/>
        <v>3.6273749354363671E-2</v>
      </c>
      <c r="Z56" s="33">
        <v>4458.7171760292667</v>
      </c>
      <c r="AA56" s="33">
        <v>9339.2046620003894</v>
      </c>
      <c r="AB56" s="34">
        <f t="shared" si="2"/>
        <v>13797.921838029655</v>
      </c>
      <c r="AC56" s="35">
        <f t="shared" si="3"/>
        <v>2.8053803185623227E-2</v>
      </c>
      <c r="AD56" s="33">
        <v>4546.5764246461467</v>
      </c>
      <c r="AE56" s="33">
        <v>9618.8943819773049</v>
      </c>
      <c r="AF56" s="34">
        <f t="shared" si="4"/>
        <v>14165.470806623453</v>
      </c>
      <c r="AG56" s="35">
        <f t="shared" si="0"/>
        <v>2.6637994685602795E-2</v>
      </c>
    </row>
    <row r="57" spans="1:33" x14ac:dyDescent="0.3">
      <c r="A57" s="31" t="s">
        <v>162</v>
      </c>
      <c r="B57" s="31">
        <v>8108</v>
      </c>
      <c r="C57" s="32" t="s">
        <v>163</v>
      </c>
      <c r="D57" s="33">
        <v>2111.2769749898303</v>
      </c>
      <c r="E57" s="33">
        <v>7348.8071566148665</v>
      </c>
      <c r="F57" s="33">
        <v>9460.0841316046972</v>
      </c>
      <c r="G57" s="33">
        <v>2163.4202319554333</v>
      </c>
      <c r="H57" s="33">
        <v>7311.3282401161305</v>
      </c>
      <c r="I57" s="33">
        <v>9474.7484720715638</v>
      </c>
      <c r="J57" s="33">
        <v>2201.2153443868774</v>
      </c>
      <c r="K57" s="33">
        <v>7074.4412051363679</v>
      </c>
      <c r="L57" s="34">
        <v>9275.6565495232462</v>
      </c>
      <c r="M57" s="33">
        <v>2227.4619502420469</v>
      </c>
      <c r="N57" s="33">
        <v>7000.1595724824365</v>
      </c>
      <c r="O57" s="34">
        <v>9227.6215227244829</v>
      </c>
      <c r="P57" s="33">
        <v>2237.6106378393788</v>
      </c>
      <c r="Q57" s="33">
        <v>6625.1744659916294</v>
      </c>
      <c r="R57" s="34">
        <v>8862.7851038310073</v>
      </c>
      <c r="S57" s="33">
        <v>2253.5396335277005</v>
      </c>
      <c r="T57" s="33">
        <v>6575.4134303774981</v>
      </c>
      <c r="U57" s="34">
        <v>8828.9530639051991</v>
      </c>
      <c r="V57" s="33">
        <v>2273.3407417529897</v>
      </c>
      <c r="W57" s="33">
        <v>6880.0681038818257</v>
      </c>
      <c r="X57" s="34">
        <v>9153.4088456348145</v>
      </c>
      <c r="Y57" s="35">
        <f t="shared" si="1"/>
        <v>3.6749066325436175E-2</v>
      </c>
      <c r="Z57" s="33">
        <v>2299.0703206915041</v>
      </c>
      <c r="AA57" s="33">
        <v>7106.1208514184573</v>
      </c>
      <c r="AB57" s="34">
        <f t="shared" si="2"/>
        <v>9405.1911721099605</v>
      </c>
      <c r="AC57" s="35">
        <f t="shared" si="3"/>
        <v>2.7506946397922505E-2</v>
      </c>
      <c r="AD57" s="33">
        <v>2329.6433780816237</v>
      </c>
      <c r="AE57" s="33">
        <v>7318.9343642374006</v>
      </c>
      <c r="AF57" s="34">
        <f t="shared" si="4"/>
        <v>9648.5777423190248</v>
      </c>
      <c r="AG57" s="35">
        <f t="shared" si="0"/>
        <v>2.5877897190521804E-2</v>
      </c>
    </row>
    <row r="58" spans="1:33" x14ac:dyDescent="0.3">
      <c r="A58" s="31" t="s">
        <v>164</v>
      </c>
      <c r="B58" s="31">
        <v>8110</v>
      </c>
      <c r="C58" s="32" t="s">
        <v>165</v>
      </c>
      <c r="D58" s="33">
        <v>3330.8395490458479</v>
      </c>
      <c r="E58" s="33">
        <v>5733.8198028408915</v>
      </c>
      <c r="F58" s="33">
        <v>9064.6593518867394</v>
      </c>
      <c r="G58" s="33">
        <v>3469.5374482417565</v>
      </c>
      <c r="H58" s="33">
        <v>5704.5773218464028</v>
      </c>
      <c r="I58" s="33">
        <v>9174.1147700881593</v>
      </c>
      <c r="J58" s="33">
        <v>3509.62684102304</v>
      </c>
      <c r="K58" s="33">
        <v>5519.7490166185798</v>
      </c>
      <c r="L58" s="34">
        <v>9029.3758576416203</v>
      </c>
      <c r="M58" s="33">
        <v>3533.1864841741258</v>
      </c>
      <c r="N58" s="33">
        <v>5461.7916519440851</v>
      </c>
      <c r="O58" s="34">
        <v>8994.9781361182104</v>
      </c>
      <c r="P58" s="33">
        <v>3515.7067489329979</v>
      </c>
      <c r="Q58" s="33">
        <v>5169.2139609603137</v>
      </c>
      <c r="R58" s="34">
        <v>8684.9207098933111</v>
      </c>
      <c r="S58" s="33">
        <v>3502.3184201861577</v>
      </c>
      <c r="T58" s="33">
        <v>5130.3885018982464</v>
      </c>
      <c r="U58" s="34">
        <v>8632.7069220844041</v>
      </c>
      <c r="V58" s="33">
        <v>3528.0709866617394</v>
      </c>
      <c r="W58" s="33">
        <v>5368.0917049813161</v>
      </c>
      <c r="X58" s="34">
        <v>8896.162691643056</v>
      </c>
      <c r="Y58" s="35">
        <f t="shared" si="1"/>
        <v>3.0518326631090886E-2</v>
      </c>
      <c r="Z58" s="33">
        <v>3585.9044924273039</v>
      </c>
      <c r="AA58" s="33">
        <v>5544.4666856671856</v>
      </c>
      <c r="AB58" s="34">
        <f t="shared" si="2"/>
        <v>9130.3711780944905</v>
      </c>
      <c r="AC58" s="35">
        <f t="shared" si="3"/>
        <v>2.6326911340262216E-2</v>
      </c>
      <c r="AD58" s="33">
        <v>3652.6450318243838</v>
      </c>
      <c r="AE58" s="33">
        <v>5710.5119101652899</v>
      </c>
      <c r="AF58" s="34">
        <f t="shared" si="4"/>
        <v>9363.1569419896732</v>
      </c>
      <c r="AG58" s="35">
        <f t="shared" si="0"/>
        <v>2.5495761273504502E-2</v>
      </c>
    </row>
    <row r="59" spans="1:33" x14ac:dyDescent="0.3">
      <c r="A59" s="42" t="s">
        <v>166</v>
      </c>
      <c r="B59" s="42">
        <v>8114</v>
      </c>
      <c r="C59" s="43" t="s">
        <v>167</v>
      </c>
      <c r="D59" s="44">
        <v>10526.4345197031</v>
      </c>
      <c r="E59" s="44">
        <v>26395.225448474735</v>
      </c>
      <c r="F59" s="44">
        <v>36921.659968177832</v>
      </c>
      <c r="G59" s="44">
        <v>10526.032286821186</v>
      </c>
      <c r="H59" s="44">
        <v>26260.609798687514</v>
      </c>
      <c r="I59" s="44">
        <v>36786.642085508698</v>
      </c>
      <c r="J59" s="44">
        <v>10731.975522361423</v>
      </c>
      <c r="K59" s="44">
        <v>25409.766041210038</v>
      </c>
      <c r="L59" s="45">
        <v>36141.741563571457</v>
      </c>
      <c r="M59" s="44">
        <v>10785.874728537969</v>
      </c>
      <c r="N59" s="44">
        <v>25142.963497777335</v>
      </c>
      <c r="O59" s="45">
        <v>35928.838226315303</v>
      </c>
      <c r="P59" s="44">
        <v>11290.676995340697</v>
      </c>
      <c r="Q59" s="44">
        <v>23796.103223081478</v>
      </c>
      <c r="R59" s="45">
        <v>35086.780218422173</v>
      </c>
      <c r="S59" s="44">
        <v>11046.67908813364</v>
      </c>
      <c r="T59" s="44">
        <v>23617.373025704848</v>
      </c>
      <c r="U59" s="45">
        <v>34664.052113838487</v>
      </c>
      <c r="V59" s="44">
        <v>11293.087326754727</v>
      </c>
      <c r="W59" s="44">
        <v>24711.622557595187</v>
      </c>
      <c r="X59" s="45">
        <v>36004.709884349912</v>
      </c>
      <c r="Y59" s="46">
        <f t="shared" si="1"/>
        <v>3.8675737219314055E-2</v>
      </c>
      <c r="Z59" s="44">
        <v>11536.267584015142</v>
      </c>
      <c r="AA59" s="44">
        <v>25523.552045921155</v>
      </c>
      <c r="AB59" s="45">
        <f t="shared" si="2"/>
        <v>37059.819629936297</v>
      </c>
      <c r="AC59" s="46">
        <f t="shared" si="3"/>
        <v>2.9304770097453581E-2</v>
      </c>
      <c r="AD59" s="44">
        <v>11731.730886039442</v>
      </c>
      <c r="AE59" s="44">
        <v>26287.929247502994</v>
      </c>
      <c r="AF59" s="45">
        <f t="shared" si="4"/>
        <v>38019.660133542435</v>
      </c>
      <c r="AG59" s="46">
        <f t="shared" si="0"/>
        <v>2.5899761876628125E-2</v>
      </c>
    </row>
    <row r="60" spans="1:33" x14ac:dyDescent="0.3">
      <c r="A60" s="42" t="s">
        <v>168</v>
      </c>
      <c r="B60" s="42">
        <v>8115</v>
      </c>
      <c r="C60" s="43" t="s">
        <v>169</v>
      </c>
      <c r="D60" s="44">
        <v>416.07823730969898</v>
      </c>
      <c r="E60" s="44">
        <v>1471.3509804058924</v>
      </c>
      <c r="F60" s="44">
        <v>1887.4292177155914</v>
      </c>
      <c r="G60" s="44">
        <v>413.29764155611048</v>
      </c>
      <c r="H60" s="44">
        <v>1463.8470904058224</v>
      </c>
      <c r="I60" s="44">
        <v>1877.1447319619328</v>
      </c>
      <c r="J60" s="44">
        <v>414.73006967159546</v>
      </c>
      <c r="K60" s="44">
        <v>1416.4184446766737</v>
      </c>
      <c r="L60" s="45">
        <v>1831.1485143482691</v>
      </c>
      <c r="M60" s="44">
        <v>412.87633916920311</v>
      </c>
      <c r="N60" s="44">
        <v>1401.5460510075686</v>
      </c>
      <c r="O60" s="45">
        <v>1814.4223901767718</v>
      </c>
      <c r="P60" s="44">
        <v>415.15137205850277</v>
      </c>
      <c r="Q60" s="44">
        <v>1326.4679203239752</v>
      </c>
      <c r="R60" s="45">
        <v>1741.6192923824781</v>
      </c>
      <c r="S60" s="44">
        <v>408.40725361060385</v>
      </c>
      <c r="T60" s="44">
        <v>1316.5049498749602</v>
      </c>
      <c r="U60" s="45">
        <v>1724.9122034855641</v>
      </c>
      <c r="V60" s="44">
        <v>407.94061128998851</v>
      </c>
      <c r="W60" s="44">
        <v>1377.5017814685534</v>
      </c>
      <c r="X60" s="45">
        <v>1785.4423927585419</v>
      </c>
      <c r="Y60" s="46">
        <f t="shared" si="1"/>
        <v>3.509175084428251E-2</v>
      </c>
      <c r="Z60" s="44">
        <v>411.44638215272454</v>
      </c>
      <c r="AA60" s="44">
        <v>1422.7612262496134</v>
      </c>
      <c r="AB60" s="45">
        <f t="shared" si="2"/>
        <v>1834.2076084023379</v>
      </c>
      <c r="AC60" s="46">
        <f t="shared" si="3"/>
        <v>2.7312679390597783E-2</v>
      </c>
      <c r="AD60" s="44">
        <v>417.62856730423727</v>
      </c>
      <c r="AE60" s="44">
        <v>1465.3699604368921</v>
      </c>
      <c r="AF60" s="45">
        <f t="shared" si="4"/>
        <v>1882.9985277411295</v>
      </c>
      <c r="AG60" s="46">
        <f t="shared" si="0"/>
        <v>2.6600543534594845E-2</v>
      </c>
    </row>
    <row r="61" spans="1:33" x14ac:dyDescent="0.3">
      <c r="A61" s="31" t="s">
        <v>170</v>
      </c>
      <c r="B61" s="31">
        <v>8118</v>
      </c>
      <c r="C61" s="32" t="s">
        <v>171</v>
      </c>
      <c r="D61" s="33">
        <v>3351.9924502531089</v>
      </c>
      <c r="E61" s="33">
        <v>6623.560972983073</v>
      </c>
      <c r="F61" s="33">
        <v>9975.5534232361824</v>
      </c>
      <c r="G61" s="33">
        <v>3387.7646410152111</v>
      </c>
      <c r="H61" s="33">
        <v>6589.7808120208592</v>
      </c>
      <c r="I61" s="33">
        <v>9977.5454530360694</v>
      </c>
      <c r="J61" s="33">
        <v>3421.8480159044238</v>
      </c>
      <c r="K61" s="33">
        <v>6376.2719137113836</v>
      </c>
      <c r="L61" s="34">
        <v>9798.1199296158084</v>
      </c>
      <c r="M61" s="33">
        <v>3459.9231374022834</v>
      </c>
      <c r="N61" s="33">
        <v>6309.3210586174146</v>
      </c>
      <c r="O61" s="34">
        <v>9769.2441960196975</v>
      </c>
      <c r="P61" s="33">
        <v>3462.0725394223241</v>
      </c>
      <c r="Q61" s="33">
        <v>5971.3428447563074</v>
      </c>
      <c r="R61" s="34">
        <v>9433.4153841786319</v>
      </c>
      <c r="S61" s="33">
        <v>3449.27647096908</v>
      </c>
      <c r="T61" s="33">
        <v>5926.4926743211909</v>
      </c>
      <c r="U61" s="34">
        <v>9375.7691452902709</v>
      </c>
      <c r="V61" s="33">
        <v>3466.9174879828756</v>
      </c>
      <c r="W61" s="33">
        <v>6201.0812929439826</v>
      </c>
      <c r="X61" s="34">
        <v>9667.9987809268587</v>
      </c>
      <c r="Y61" s="35">
        <f t="shared" si="1"/>
        <v>3.1168603994839561E-2</v>
      </c>
      <c r="Z61" s="33">
        <v>3509.877962894167</v>
      </c>
      <c r="AA61" s="33">
        <v>6404.8251284413518</v>
      </c>
      <c r="AB61" s="34">
        <f t="shared" si="2"/>
        <v>9914.7030913355193</v>
      </c>
      <c r="AC61" s="35">
        <f t="shared" si="3"/>
        <v>2.5517619105968725E-2</v>
      </c>
      <c r="AD61" s="33">
        <v>3544.6767999607728</v>
      </c>
      <c r="AE61" s="33">
        <v>6596.6362956131807</v>
      </c>
      <c r="AF61" s="34">
        <f t="shared" si="4"/>
        <v>10141.313095573954</v>
      </c>
      <c r="AG61" s="35">
        <f t="shared" si="0"/>
        <v>2.2855954651478161E-2</v>
      </c>
    </row>
    <row r="62" spans="1:33" x14ac:dyDescent="0.3">
      <c r="A62" s="31" t="s">
        <v>172</v>
      </c>
      <c r="B62" s="31">
        <v>8120</v>
      </c>
      <c r="C62" s="32" t="s">
        <v>173</v>
      </c>
      <c r="D62" s="33">
        <v>1980.2398994353098</v>
      </c>
      <c r="E62" s="33">
        <v>6721.1293149248986</v>
      </c>
      <c r="F62" s="33">
        <v>8701.3692143602093</v>
      </c>
      <c r="G62" s="33">
        <v>2050.7809461651023</v>
      </c>
      <c r="H62" s="33">
        <v>6686.8515554187816</v>
      </c>
      <c r="I62" s="33">
        <v>8737.6325015838847</v>
      </c>
      <c r="J62" s="33">
        <v>2088.5967650305579</v>
      </c>
      <c r="K62" s="33">
        <v>6470.1975650232134</v>
      </c>
      <c r="L62" s="34">
        <v>8558.7943300537718</v>
      </c>
      <c r="M62" s="33">
        <v>2086.1726740776444</v>
      </c>
      <c r="N62" s="33">
        <v>6402.26049059047</v>
      </c>
      <c r="O62" s="34">
        <v>8488.4331646681148</v>
      </c>
      <c r="P62" s="33">
        <v>2101.4444470810013</v>
      </c>
      <c r="Q62" s="33">
        <v>6059.3036898221999</v>
      </c>
      <c r="R62" s="34">
        <v>8160.7481369032012</v>
      </c>
      <c r="S62" s="33">
        <v>2126.6016023457441</v>
      </c>
      <c r="T62" s="33">
        <v>6013.7928541070305</v>
      </c>
      <c r="U62" s="34">
        <v>8140.3944564527746</v>
      </c>
      <c r="V62" s="33">
        <v>2144.8598830750566</v>
      </c>
      <c r="W62" s="33">
        <v>6292.4262994241644</v>
      </c>
      <c r="X62" s="34">
        <v>8437.2861824992215</v>
      </c>
      <c r="Y62" s="35">
        <f t="shared" si="1"/>
        <v>3.6471417648699545E-2</v>
      </c>
      <c r="Z62" s="33">
        <v>2175.6648758049055</v>
      </c>
      <c r="AA62" s="33">
        <v>6499.1713827837375</v>
      </c>
      <c r="AB62" s="34">
        <f t="shared" si="2"/>
        <v>8674.8362585886425</v>
      </c>
      <c r="AC62" s="35">
        <f t="shared" si="3"/>
        <v>2.8154796572166907E-2</v>
      </c>
      <c r="AD62" s="33">
        <v>2210.7042642306888</v>
      </c>
      <c r="AE62" s="33">
        <v>6693.8080236883843</v>
      </c>
      <c r="AF62" s="34">
        <f t="shared" si="4"/>
        <v>8904.5122879190731</v>
      </c>
      <c r="AG62" s="35">
        <f t="shared" si="0"/>
        <v>2.6476122716787565E-2</v>
      </c>
    </row>
    <row r="63" spans="1:33" x14ac:dyDescent="0.3">
      <c r="A63" s="31" t="s">
        <v>174</v>
      </c>
      <c r="B63" s="31">
        <v>8121</v>
      </c>
      <c r="C63" s="32" t="s">
        <v>175</v>
      </c>
      <c r="D63" s="33">
        <v>81864.414293623224</v>
      </c>
      <c r="E63" s="33">
        <v>63342.274214897421</v>
      </c>
      <c r="F63" s="33">
        <v>145206.68850852066</v>
      </c>
      <c r="G63" s="33">
        <v>82575.87112279945</v>
      </c>
      <c r="H63" s="33">
        <v>63019.228616401444</v>
      </c>
      <c r="I63" s="33">
        <v>145595.0997392009</v>
      </c>
      <c r="J63" s="33">
        <v>83914.678450571009</v>
      </c>
      <c r="K63" s="33">
        <v>60977.405609230038</v>
      </c>
      <c r="L63" s="34">
        <v>144892.08405980104</v>
      </c>
      <c r="M63" s="33">
        <v>84730.234098744928</v>
      </c>
      <c r="N63" s="33">
        <v>60337.142850333126</v>
      </c>
      <c r="O63" s="34">
        <v>145067.37694907805</v>
      </c>
      <c r="P63" s="33">
        <v>85543.032162309639</v>
      </c>
      <c r="Q63" s="33">
        <v>57104.99796809016</v>
      </c>
      <c r="R63" s="34">
        <v>142648.0301303998</v>
      </c>
      <c r="S63" s="33">
        <v>85554.095357932019</v>
      </c>
      <c r="T63" s="33">
        <v>56676.087929234345</v>
      </c>
      <c r="U63" s="34">
        <v>142230.18328716635</v>
      </c>
      <c r="V63" s="33">
        <v>86258.311031429301</v>
      </c>
      <c r="W63" s="33">
        <v>59302.027004610805</v>
      </c>
      <c r="X63" s="34">
        <v>145560.33803604011</v>
      </c>
      <c r="Y63" s="35">
        <f t="shared" si="1"/>
        <v>2.3413839959343097E-2</v>
      </c>
      <c r="Z63" s="33">
        <v>87665.919318314307</v>
      </c>
      <c r="AA63" s="33">
        <v>61250.465005002152</v>
      </c>
      <c r="AB63" s="34">
        <f t="shared" si="2"/>
        <v>148916.38432331645</v>
      </c>
      <c r="AC63" s="35">
        <f t="shared" si="3"/>
        <v>2.3056049007287971E-2</v>
      </c>
      <c r="AD63" s="33">
        <v>88975.390154499677</v>
      </c>
      <c r="AE63" s="33">
        <v>63084.788807264304</v>
      </c>
      <c r="AF63" s="34">
        <f t="shared" si="4"/>
        <v>152060.17896176397</v>
      </c>
      <c r="AG63" s="35">
        <f t="shared" si="0"/>
        <v>2.1111140004728801E-2</v>
      </c>
    </row>
    <row r="64" spans="1:33" x14ac:dyDescent="0.3">
      <c r="A64" s="31" t="s">
        <v>176</v>
      </c>
      <c r="B64" s="31">
        <v>8122</v>
      </c>
      <c r="C64" s="32" t="s">
        <v>177</v>
      </c>
      <c r="D64" s="33">
        <v>703.87748069488055</v>
      </c>
      <c r="E64" s="33">
        <v>1278.4316074784253</v>
      </c>
      <c r="F64" s="33">
        <v>1982.309088173306</v>
      </c>
      <c r="G64" s="33">
        <v>779.57049830201129</v>
      </c>
      <c r="H64" s="33">
        <v>1271.9116062802855</v>
      </c>
      <c r="I64" s="33">
        <v>2051.4821045822969</v>
      </c>
      <c r="J64" s="33">
        <v>797.48000693226993</v>
      </c>
      <c r="K64" s="33">
        <v>1230.7016702368041</v>
      </c>
      <c r="L64" s="34">
        <v>2028.1816771690742</v>
      </c>
      <c r="M64" s="33">
        <v>798.49375270379403</v>
      </c>
      <c r="N64" s="33">
        <v>1217.7793026993177</v>
      </c>
      <c r="O64" s="34">
        <v>2016.2730554031118</v>
      </c>
      <c r="P64" s="33">
        <v>793.42502384617364</v>
      </c>
      <c r="Q64" s="33">
        <v>1152.5452038510446</v>
      </c>
      <c r="R64" s="34">
        <v>1945.9702276972182</v>
      </c>
      <c r="S64" s="33">
        <v>792.41195464538407</v>
      </c>
      <c r="T64" s="33">
        <v>1143.8885498670436</v>
      </c>
      <c r="U64" s="34">
        <v>1936.3005045124278</v>
      </c>
      <c r="V64" s="33">
        <v>799.30166990189537</v>
      </c>
      <c r="W64" s="33">
        <v>1196.8876496765099</v>
      </c>
      <c r="X64" s="34">
        <v>1996.1893195784053</v>
      </c>
      <c r="Y64" s="35">
        <f t="shared" si="1"/>
        <v>3.0929504447481326E-2</v>
      </c>
      <c r="Z64" s="33">
        <v>809.776495673319</v>
      </c>
      <c r="AA64" s="33">
        <v>1236.212804255922</v>
      </c>
      <c r="AB64" s="34">
        <f t="shared" si="2"/>
        <v>2045.989299929241</v>
      </c>
      <c r="AC64" s="35">
        <f t="shared" si="3"/>
        <v>2.4947523695474594E-2</v>
      </c>
      <c r="AD64" s="33">
        <v>827.3819243241694</v>
      </c>
      <c r="AE64" s="33">
        <v>1273.2348019064327</v>
      </c>
      <c r="AF64" s="34">
        <f t="shared" si="4"/>
        <v>2100.6167262306021</v>
      </c>
      <c r="AG64" s="35">
        <f t="shared" si="0"/>
        <v>2.6699761481279616E-2</v>
      </c>
    </row>
    <row r="65" spans="1:33" x14ac:dyDescent="0.3">
      <c r="A65" s="36" t="s">
        <v>178</v>
      </c>
      <c r="B65" s="36">
        <v>8123</v>
      </c>
      <c r="C65" s="37" t="s">
        <v>179</v>
      </c>
      <c r="D65" s="38">
        <v>4733.4334286779977</v>
      </c>
      <c r="E65" s="38">
        <v>13646.020388219997</v>
      </c>
      <c r="F65" s="38">
        <v>18379.453816897993</v>
      </c>
      <c r="G65" s="38">
        <v>4825.3722828159198</v>
      </c>
      <c r="H65" s="38">
        <v>13576.425684240075</v>
      </c>
      <c r="I65" s="38">
        <v>18401.797967055994</v>
      </c>
      <c r="J65" s="38">
        <v>4873.7718117563682</v>
      </c>
      <c r="K65" s="38">
        <v>13136.549492070697</v>
      </c>
      <c r="L65" s="39">
        <v>18010.321303827066</v>
      </c>
      <c r="M65" s="38">
        <v>4907.995746446476</v>
      </c>
      <c r="N65" s="38">
        <v>12998.615722403954</v>
      </c>
      <c r="O65" s="39">
        <v>17906.611468850431</v>
      </c>
      <c r="P65" s="38">
        <v>5023.2230768528161</v>
      </c>
      <c r="Q65" s="38">
        <v>12302.304838283611</v>
      </c>
      <c r="R65" s="39">
        <v>17325.527915136427</v>
      </c>
      <c r="S65" s="38">
        <v>5041.7973287832492</v>
      </c>
      <c r="T65" s="38">
        <v>12209.90343325856</v>
      </c>
      <c r="U65" s="39">
        <v>17251.700762041808</v>
      </c>
      <c r="V65" s="38">
        <v>5083.8580431078553</v>
      </c>
      <c r="W65" s="38">
        <v>12775.617541331791</v>
      </c>
      <c r="X65" s="39">
        <v>17859.475584439646</v>
      </c>
      <c r="Y65" s="40">
        <f t="shared" si="1"/>
        <v>3.5229849554027748E-2</v>
      </c>
      <c r="Z65" s="38">
        <v>5149.6522011928182</v>
      </c>
      <c r="AA65" s="38">
        <v>13195.375515103273</v>
      </c>
      <c r="AB65" s="39">
        <f t="shared" si="2"/>
        <v>18345.027716296092</v>
      </c>
      <c r="AC65" s="40">
        <f t="shared" si="3"/>
        <v>2.7187367823918063E-2</v>
      </c>
      <c r="AD65" s="38">
        <v>5206.3730115593635</v>
      </c>
      <c r="AE65" s="38">
        <v>13590.549517213532</v>
      </c>
      <c r="AF65" s="39">
        <f t="shared" si="4"/>
        <v>18796.922528772895</v>
      </c>
      <c r="AG65" s="40">
        <f t="shared" si="0"/>
        <v>2.4633095107039704E-2</v>
      </c>
    </row>
    <row r="66" spans="1:33" x14ac:dyDescent="0.3">
      <c r="A66" s="42" t="s">
        <v>180</v>
      </c>
      <c r="B66" s="42">
        <v>8124</v>
      </c>
      <c r="C66" s="43" t="s">
        <v>181</v>
      </c>
      <c r="D66" s="44">
        <v>9068.4272086111705</v>
      </c>
      <c r="E66" s="44">
        <v>18880.862217843045</v>
      </c>
      <c r="F66" s="44">
        <v>27949.289426454216</v>
      </c>
      <c r="G66" s="44">
        <v>9103.3239853310206</v>
      </c>
      <c r="H66" s="44">
        <v>18784.569820532044</v>
      </c>
      <c r="I66" s="44">
        <v>27887.893805863067</v>
      </c>
      <c r="J66" s="44">
        <v>9203.6302983147107</v>
      </c>
      <c r="K66" s="44">
        <v>18175.949758346807</v>
      </c>
      <c r="L66" s="45">
        <v>27379.580056661518</v>
      </c>
      <c r="M66" s="44">
        <v>9199.2462811388505</v>
      </c>
      <c r="N66" s="44">
        <v>17985.102285884168</v>
      </c>
      <c r="O66" s="45">
        <v>27184.348567023018</v>
      </c>
      <c r="P66" s="44">
        <v>9161.1930120523793</v>
      </c>
      <c r="Q66" s="44">
        <v>17021.674891681396</v>
      </c>
      <c r="R66" s="45">
        <v>26182.867903733775</v>
      </c>
      <c r="S66" s="44">
        <v>9092.7820210623377</v>
      </c>
      <c r="T66" s="44">
        <v>16893.826761063097</v>
      </c>
      <c r="U66" s="45">
        <v>25986.608782125433</v>
      </c>
      <c r="V66" s="44">
        <v>9152.218270249612</v>
      </c>
      <c r="W66" s="44">
        <v>17676.558269982812</v>
      </c>
      <c r="X66" s="45">
        <v>26828.776540232422</v>
      </c>
      <c r="Y66" s="46">
        <f t="shared" si="1"/>
        <v>3.2407759133475933E-2</v>
      </c>
      <c r="Z66" s="44">
        <v>9257.4459999678911</v>
      </c>
      <c r="AA66" s="44">
        <v>18257.342428451604</v>
      </c>
      <c r="AB66" s="45">
        <f t="shared" si="2"/>
        <v>27514.788428419495</v>
      </c>
      <c r="AC66" s="46">
        <f t="shared" si="3"/>
        <v>2.5570002685673332E-2</v>
      </c>
      <c r="AD66" s="44">
        <v>9359.6672788164342</v>
      </c>
      <c r="AE66" s="44">
        <v>18804.111792240506</v>
      </c>
      <c r="AF66" s="45">
        <f t="shared" si="4"/>
        <v>28163.779071056939</v>
      </c>
      <c r="AG66" s="46">
        <f t="shared" si="0"/>
        <v>2.3586975575909275E-2</v>
      </c>
    </row>
    <row r="67" spans="1:33" x14ac:dyDescent="0.3">
      <c r="A67" s="42" t="s">
        <v>182</v>
      </c>
      <c r="B67" s="42">
        <v>8125</v>
      </c>
      <c r="C67" s="43" t="s">
        <v>183</v>
      </c>
      <c r="D67" s="44">
        <v>14135.31853458962</v>
      </c>
      <c r="E67" s="44">
        <v>33184.461246325714</v>
      </c>
      <c r="F67" s="44">
        <v>47319.779780915334</v>
      </c>
      <c r="G67" s="44">
        <v>14397.775697689485</v>
      </c>
      <c r="H67" s="44">
        <v>33015.220493969457</v>
      </c>
      <c r="I67" s="44">
        <v>47412.996191658938</v>
      </c>
      <c r="J67" s="44">
        <v>14706.83329510859</v>
      </c>
      <c r="K67" s="44">
        <v>31945.527349964847</v>
      </c>
      <c r="L67" s="45">
        <v>46652.360645073437</v>
      </c>
      <c r="M67" s="44">
        <v>14796.077523097321</v>
      </c>
      <c r="N67" s="44">
        <v>31610.099312790218</v>
      </c>
      <c r="O67" s="45">
        <v>46406.176835887542</v>
      </c>
      <c r="P67" s="44">
        <v>15250.211944340474</v>
      </c>
      <c r="Q67" s="44">
        <v>29916.806990771314</v>
      </c>
      <c r="R67" s="45">
        <v>45167.018935111788</v>
      </c>
      <c r="S67" s="44">
        <v>15327.212670413908</v>
      </c>
      <c r="T67" s="44">
        <v>29692.104787716798</v>
      </c>
      <c r="U67" s="45">
        <v>45019.31745813071</v>
      </c>
      <c r="V67" s="44">
        <v>15451.923283175127</v>
      </c>
      <c r="W67" s="44">
        <v>31067.811210672291</v>
      </c>
      <c r="X67" s="45">
        <v>46519.73449384742</v>
      </c>
      <c r="Y67" s="46">
        <f t="shared" ref="Y67:Y130" si="5">+X67/U67-1</f>
        <v>3.3328293728845271E-2</v>
      </c>
      <c r="Z67" s="44">
        <v>15657.344102495652</v>
      </c>
      <c r="AA67" s="44">
        <v>32088.580769647931</v>
      </c>
      <c r="AB67" s="45">
        <f t="shared" ref="AB67:AB130" si="6">Z67+AA67</f>
        <v>47745.924872143587</v>
      </c>
      <c r="AC67" s="46">
        <f t="shared" ref="AC67:AC130" si="7">+AB67/X67-1</f>
        <v>2.6358499067924424E-2</v>
      </c>
      <c r="AD67" s="44">
        <v>16101.688336222849</v>
      </c>
      <c r="AE67" s="44">
        <v>33049.566902271901</v>
      </c>
      <c r="AF67" s="45">
        <f t="shared" ref="AF67:AF130" si="8">AD67+AE67</f>
        <v>49151.255238494748</v>
      </c>
      <c r="AG67" s="46">
        <f t="shared" ref="AG67:AG130" si="9">+AF67/AB67-1</f>
        <v>2.9433514380848624E-2</v>
      </c>
    </row>
    <row r="68" spans="1:33" x14ac:dyDescent="0.3">
      <c r="A68" s="31" t="s">
        <v>184</v>
      </c>
      <c r="B68" s="31">
        <v>8126</v>
      </c>
      <c r="C68" s="32" t="s">
        <v>185</v>
      </c>
      <c r="D68" s="33">
        <v>1064.3977545354714</v>
      </c>
      <c r="E68" s="33">
        <v>3012.6629590231928</v>
      </c>
      <c r="F68" s="33">
        <v>4077.0607135586642</v>
      </c>
      <c r="G68" s="33">
        <v>1135.756551699619</v>
      </c>
      <c r="H68" s="33">
        <v>2997.2983779321744</v>
      </c>
      <c r="I68" s="33">
        <v>4133.0549296317931</v>
      </c>
      <c r="J68" s="33">
        <v>1159.580453917396</v>
      </c>
      <c r="K68" s="33">
        <v>2900.1859104871719</v>
      </c>
      <c r="L68" s="34">
        <v>4059.7663644045679</v>
      </c>
      <c r="M68" s="33">
        <v>1195.0340335211022</v>
      </c>
      <c r="N68" s="33">
        <v>2869.7339584270567</v>
      </c>
      <c r="O68" s="34">
        <v>4064.7679919481589</v>
      </c>
      <c r="P68" s="33">
        <v>1226.084143046641</v>
      </c>
      <c r="Q68" s="33">
        <v>2716.0078207785346</v>
      </c>
      <c r="R68" s="34">
        <v>3942.0919638251753</v>
      </c>
      <c r="S68" s="33">
        <v>1256.4677884009907</v>
      </c>
      <c r="T68" s="33">
        <v>2695.6081524238703</v>
      </c>
      <c r="U68" s="34">
        <v>3952.0759408248609</v>
      </c>
      <c r="V68" s="33">
        <v>1270.7233722891224</v>
      </c>
      <c r="W68" s="33">
        <v>2820.5021427816978</v>
      </c>
      <c r="X68" s="34">
        <v>4091.2255150708202</v>
      </c>
      <c r="Y68" s="35">
        <f t="shared" si="5"/>
        <v>3.5209235938142625E-2</v>
      </c>
      <c r="Z68" s="33">
        <v>1291.1554321390115</v>
      </c>
      <c r="AA68" s="33">
        <v>2913.1730653920463</v>
      </c>
      <c r="AB68" s="34">
        <f t="shared" si="6"/>
        <v>4204.328497531058</v>
      </c>
      <c r="AC68" s="35">
        <f t="shared" si="7"/>
        <v>2.764525740358259E-2</v>
      </c>
      <c r="AD68" s="33">
        <v>1310.0066231268263</v>
      </c>
      <c r="AE68" s="33">
        <v>3000.4165286624266</v>
      </c>
      <c r="AF68" s="34">
        <f t="shared" si="8"/>
        <v>4310.4231517892531</v>
      </c>
      <c r="AG68" s="35">
        <f t="shared" si="9"/>
        <v>2.52346252964053E-2</v>
      </c>
    </row>
    <row r="69" spans="1:33" x14ac:dyDescent="0.3">
      <c r="A69" s="31" t="s">
        <v>186</v>
      </c>
      <c r="B69" s="31">
        <v>8134</v>
      </c>
      <c r="C69" s="32" t="s">
        <v>187</v>
      </c>
      <c r="D69" s="33">
        <v>21.755451663470446</v>
      </c>
      <c r="E69" s="33">
        <v>296.56998104038144</v>
      </c>
      <c r="F69" s="33">
        <v>318.3254327038519</v>
      </c>
      <c r="G69" s="33">
        <v>22.310546602872048</v>
      </c>
      <c r="H69" s="33">
        <v>295.05747413707547</v>
      </c>
      <c r="I69" s="33">
        <v>317.3680207399475</v>
      </c>
      <c r="J69" s="33">
        <v>22.566744267211249</v>
      </c>
      <c r="K69" s="33">
        <v>285.49761197503426</v>
      </c>
      <c r="L69" s="34">
        <v>308.06435624224548</v>
      </c>
      <c r="M69" s="33">
        <v>23.121839206612847</v>
      </c>
      <c r="N69" s="33">
        <v>282.49988704929643</v>
      </c>
      <c r="O69" s="34">
        <v>305.62172625590927</v>
      </c>
      <c r="P69" s="33">
        <v>23.548835313844851</v>
      </c>
      <c r="Q69" s="33">
        <v>267.36691056041121</v>
      </c>
      <c r="R69" s="34">
        <v>290.91574587425606</v>
      </c>
      <c r="S69" s="33">
        <v>23.610710890559048</v>
      </c>
      <c r="T69" s="33">
        <v>265.35874391865241</v>
      </c>
      <c r="U69" s="34">
        <v>288.96945480921147</v>
      </c>
      <c r="V69" s="33">
        <v>23.707375579722623</v>
      </c>
      <c r="W69" s="33">
        <v>277.6534509125234</v>
      </c>
      <c r="X69" s="34">
        <v>301.36082649224602</v>
      </c>
      <c r="Y69" s="35">
        <f t="shared" si="5"/>
        <v>4.2881250861672493E-2</v>
      </c>
      <c r="Z69" s="33">
        <v>24.032212474930649</v>
      </c>
      <c r="AA69" s="33">
        <v>286.77608233042906</v>
      </c>
      <c r="AB69" s="34">
        <f t="shared" si="6"/>
        <v>310.80829480535971</v>
      </c>
      <c r="AC69" s="35">
        <f t="shared" si="7"/>
        <v>3.1349357589304239E-2</v>
      </c>
      <c r="AD69" s="33">
        <v>24.46022294297272</v>
      </c>
      <c r="AE69" s="33">
        <v>295.36442845474397</v>
      </c>
      <c r="AF69" s="34">
        <f t="shared" si="8"/>
        <v>319.82465139771671</v>
      </c>
      <c r="AG69" s="35">
        <f t="shared" si="9"/>
        <v>2.9009382127344496E-2</v>
      </c>
    </row>
    <row r="70" spans="1:33" x14ac:dyDescent="0.3">
      <c r="A70" s="42" t="s">
        <v>188</v>
      </c>
      <c r="B70" s="42">
        <v>8135</v>
      </c>
      <c r="C70" s="43" t="s">
        <v>189</v>
      </c>
      <c r="D70" s="44">
        <v>452.60074598204631</v>
      </c>
      <c r="E70" s="44">
        <v>2651.3457225161469</v>
      </c>
      <c r="F70" s="44">
        <v>3103.9464684981931</v>
      </c>
      <c r="G70" s="44">
        <v>450.01329636372049</v>
      </c>
      <c r="H70" s="44">
        <v>2637.8238593313145</v>
      </c>
      <c r="I70" s="44">
        <v>3087.8371556950351</v>
      </c>
      <c r="J70" s="44">
        <v>454.32571239426341</v>
      </c>
      <c r="K70" s="44">
        <v>2552.3583662889801</v>
      </c>
      <c r="L70" s="45">
        <v>3006.6840786832436</v>
      </c>
      <c r="M70" s="44">
        <v>456.65949048138077</v>
      </c>
      <c r="N70" s="44">
        <v>2525.5586034429457</v>
      </c>
      <c r="O70" s="45">
        <v>2982.2180939243262</v>
      </c>
      <c r="P70" s="44">
        <v>447.98392411405314</v>
      </c>
      <c r="Q70" s="44">
        <v>2390.2692786704561</v>
      </c>
      <c r="R70" s="45">
        <v>2838.2532027845091</v>
      </c>
      <c r="S70" s="44">
        <v>448.72976015136913</v>
      </c>
      <c r="T70" s="44">
        <v>2372.3162005569907</v>
      </c>
      <c r="U70" s="45">
        <v>2821.0459607083599</v>
      </c>
      <c r="V70" s="44">
        <v>450.07708187364767</v>
      </c>
      <c r="W70" s="44">
        <v>2482.231299460243</v>
      </c>
      <c r="X70" s="45">
        <v>2932.3083813338908</v>
      </c>
      <c r="Y70" s="46">
        <f t="shared" si="5"/>
        <v>3.9440130425097086E-2</v>
      </c>
      <c r="Z70" s="44">
        <v>455.580246265688</v>
      </c>
      <c r="AA70" s="44">
        <v>2563.7879347714288</v>
      </c>
      <c r="AB70" s="45">
        <f t="shared" si="6"/>
        <v>3019.3681810371168</v>
      </c>
      <c r="AC70" s="46">
        <f t="shared" si="7"/>
        <v>2.9689851264423694E-2</v>
      </c>
      <c r="AD70" s="44">
        <v>460.59238478362738</v>
      </c>
      <c r="AE70" s="44">
        <v>2640.5680413766554</v>
      </c>
      <c r="AF70" s="45">
        <f t="shared" si="8"/>
        <v>3101.1604261602829</v>
      </c>
      <c r="AG70" s="46">
        <f t="shared" si="9"/>
        <v>2.7089192247853555E-2</v>
      </c>
    </row>
    <row r="71" spans="1:33" x14ac:dyDescent="0.3">
      <c r="A71" s="42" t="s">
        <v>190</v>
      </c>
      <c r="B71" s="42">
        <v>8136</v>
      </c>
      <c r="C71" s="43" t="s">
        <v>191</v>
      </c>
      <c r="D71" s="44">
        <v>1496.2884351282769</v>
      </c>
      <c r="E71" s="44">
        <v>3779.4743794036804</v>
      </c>
      <c r="F71" s="44">
        <v>5275.7628145319577</v>
      </c>
      <c r="G71" s="44">
        <v>1552.1570168201704</v>
      </c>
      <c r="H71" s="44">
        <v>3760.1990600687218</v>
      </c>
      <c r="I71" s="44">
        <v>5312.3560768888919</v>
      </c>
      <c r="J71" s="44">
        <v>1598.6454491874101</v>
      </c>
      <c r="K71" s="44">
        <v>3638.3686105224951</v>
      </c>
      <c r="L71" s="45">
        <v>5237.0140597099053</v>
      </c>
      <c r="M71" s="44">
        <v>1627.6105256734288</v>
      </c>
      <c r="N71" s="44">
        <v>3600.1657401120092</v>
      </c>
      <c r="O71" s="45">
        <v>5227.7762657854382</v>
      </c>
      <c r="P71" s="44">
        <v>1669.0481084043167</v>
      </c>
      <c r="Q71" s="44">
        <v>3407.311774504235</v>
      </c>
      <c r="R71" s="45">
        <v>5076.3598829085513</v>
      </c>
      <c r="S71" s="44">
        <v>1677.9908971927994</v>
      </c>
      <c r="T71" s="44">
        <v>3381.7197899565231</v>
      </c>
      <c r="U71" s="45">
        <v>5059.7106871493224</v>
      </c>
      <c r="V71" s="44">
        <v>1692.1924309410874</v>
      </c>
      <c r="W71" s="44">
        <v>3538.402977926527</v>
      </c>
      <c r="X71" s="45">
        <v>5230.5954088676144</v>
      </c>
      <c r="Y71" s="46">
        <f t="shared" si="5"/>
        <v>3.3773615189561346E-2</v>
      </c>
      <c r="Z71" s="44">
        <v>1720.6948374480135</v>
      </c>
      <c r="AA71" s="44">
        <v>3654.6613787119486</v>
      </c>
      <c r="AB71" s="45">
        <f t="shared" si="6"/>
        <v>5375.3562161599621</v>
      </c>
      <c r="AC71" s="46">
        <f t="shared" si="7"/>
        <v>2.7675779902022191E-2</v>
      </c>
      <c r="AD71" s="44">
        <v>1746.9950510919671</v>
      </c>
      <c r="AE71" s="44">
        <v>3764.1108719628496</v>
      </c>
      <c r="AF71" s="45">
        <f t="shared" si="8"/>
        <v>5511.1059230548162</v>
      </c>
      <c r="AG71" s="46">
        <f t="shared" si="9"/>
        <v>2.525408576398136E-2</v>
      </c>
    </row>
    <row r="72" spans="1:33" x14ac:dyDescent="0.3">
      <c r="A72" s="31" t="s">
        <v>192</v>
      </c>
      <c r="B72" s="31">
        <v>8137</v>
      </c>
      <c r="C72" s="32" t="s">
        <v>193</v>
      </c>
      <c r="D72" s="33">
        <v>72.6175299289592</v>
      </c>
      <c r="E72" s="33">
        <v>1701.1161990015246</v>
      </c>
      <c r="F72" s="33">
        <v>1773.7337289304837</v>
      </c>
      <c r="G72" s="33">
        <v>77.717757783501483</v>
      </c>
      <c r="H72" s="33">
        <v>1692.4405063866168</v>
      </c>
      <c r="I72" s="33">
        <v>1770.1582641701182</v>
      </c>
      <c r="J72" s="33">
        <v>77.474889790428037</v>
      </c>
      <c r="K72" s="33">
        <v>1637.6054339796904</v>
      </c>
      <c r="L72" s="34">
        <v>1715.0803237701184</v>
      </c>
      <c r="M72" s="33">
        <v>75.774813838913943</v>
      </c>
      <c r="N72" s="33">
        <v>1620.4105769229036</v>
      </c>
      <c r="O72" s="34">
        <v>1696.1853907618176</v>
      </c>
      <c r="P72" s="33">
        <v>73.589001901252956</v>
      </c>
      <c r="Q72" s="33">
        <v>1533.6082938528357</v>
      </c>
      <c r="R72" s="34">
        <v>1607.1972957540886</v>
      </c>
      <c r="S72" s="33">
        <v>73.757252610129541</v>
      </c>
      <c r="T72" s="33">
        <v>1522.0895123746614</v>
      </c>
      <c r="U72" s="34">
        <v>1595.846764984791</v>
      </c>
      <c r="V72" s="33">
        <v>72.790640362288812</v>
      </c>
      <c r="W72" s="33">
        <v>1592.6115697854668</v>
      </c>
      <c r="X72" s="34">
        <v>1665.4022101477556</v>
      </c>
      <c r="Y72" s="35">
        <f t="shared" si="5"/>
        <v>4.3585290699027501E-2</v>
      </c>
      <c r="Z72" s="33">
        <v>73.569571680751864</v>
      </c>
      <c r="AA72" s="33">
        <v>1644.9387002255721</v>
      </c>
      <c r="AB72" s="34">
        <f t="shared" si="6"/>
        <v>1718.5082719063239</v>
      </c>
      <c r="AC72" s="35">
        <f t="shared" si="7"/>
        <v>3.1887829519486877E-2</v>
      </c>
      <c r="AD72" s="33">
        <v>75.188799683461369</v>
      </c>
      <c r="AE72" s="33">
        <v>1694.2011868179516</v>
      </c>
      <c r="AF72" s="34">
        <f t="shared" si="8"/>
        <v>1769.389986501413</v>
      </c>
      <c r="AG72" s="35">
        <f t="shared" si="9"/>
        <v>2.9608070805877684E-2</v>
      </c>
    </row>
    <row r="73" spans="1:33" x14ac:dyDescent="0.3">
      <c r="A73" s="31" t="s">
        <v>194</v>
      </c>
      <c r="B73" s="31">
        <v>8145</v>
      </c>
      <c r="C73" s="32" t="s">
        <v>195</v>
      </c>
      <c r="D73" s="33">
        <v>630.41109269580693</v>
      </c>
      <c r="E73" s="33">
        <v>3381.7946061634407</v>
      </c>
      <c r="F73" s="33">
        <v>4012.2056988592476</v>
      </c>
      <c r="G73" s="33">
        <v>689.89540786262921</v>
      </c>
      <c r="H73" s="33">
        <v>3364.5474536720071</v>
      </c>
      <c r="I73" s="33">
        <v>4054.4428615346364</v>
      </c>
      <c r="J73" s="33">
        <v>707.67937837642137</v>
      </c>
      <c r="K73" s="33">
        <v>3255.5361161730343</v>
      </c>
      <c r="L73" s="34">
        <v>3963.2154945494558</v>
      </c>
      <c r="M73" s="33">
        <v>722.19273362330921</v>
      </c>
      <c r="N73" s="33">
        <v>3221.3529869532176</v>
      </c>
      <c r="O73" s="34">
        <v>3943.5457205765269</v>
      </c>
      <c r="P73" s="33">
        <v>740.18111759128305</v>
      </c>
      <c r="Q73" s="33">
        <v>3048.7912931304641</v>
      </c>
      <c r="R73" s="34">
        <v>3788.9724107217471</v>
      </c>
      <c r="S73" s="33">
        <v>760.51620331151537</v>
      </c>
      <c r="T73" s="33">
        <v>3025.8921207545091</v>
      </c>
      <c r="U73" s="34">
        <v>3786.4083240660243</v>
      </c>
      <c r="V73" s="33">
        <v>770.27191813219213</v>
      </c>
      <c r="W73" s="33">
        <v>3166.0889594580576</v>
      </c>
      <c r="X73" s="34">
        <v>3936.3608775902499</v>
      </c>
      <c r="Y73" s="35">
        <f t="shared" si="5"/>
        <v>3.9602848052900708E-2</v>
      </c>
      <c r="Z73" s="33">
        <v>781.56363532881471</v>
      </c>
      <c r="AA73" s="33">
        <v>3270.1145442959573</v>
      </c>
      <c r="AB73" s="34">
        <f t="shared" si="6"/>
        <v>4051.6781796247719</v>
      </c>
      <c r="AC73" s="35">
        <f t="shared" si="7"/>
        <v>2.9295409039101328E-2</v>
      </c>
      <c r="AD73" s="33">
        <v>793.21887534541725</v>
      </c>
      <c r="AE73" s="33">
        <v>3368.0476611177783</v>
      </c>
      <c r="AF73" s="34">
        <f t="shared" si="8"/>
        <v>4161.2665364631957</v>
      </c>
      <c r="AG73" s="35">
        <f t="shared" si="9"/>
        <v>2.7047645933363063E-2</v>
      </c>
    </row>
    <row r="74" spans="1:33" x14ac:dyDescent="0.3">
      <c r="A74" s="31" t="s">
        <v>196</v>
      </c>
      <c r="B74" s="31">
        <v>8146</v>
      </c>
      <c r="C74" s="32" t="s">
        <v>197</v>
      </c>
      <c r="D74" s="33">
        <v>116.26086811568537</v>
      </c>
      <c r="E74" s="33">
        <v>869.67654299166509</v>
      </c>
      <c r="F74" s="33">
        <v>985.9374111073505</v>
      </c>
      <c r="G74" s="33">
        <v>128.30382656591573</v>
      </c>
      <c r="H74" s="33">
        <v>865.24119262240765</v>
      </c>
      <c r="I74" s="33">
        <v>993.54501918832341</v>
      </c>
      <c r="J74" s="33">
        <v>134.3253057910309</v>
      </c>
      <c r="K74" s="33">
        <v>837.20737798144171</v>
      </c>
      <c r="L74" s="34">
        <v>971.53268377247264</v>
      </c>
      <c r="M74" s="33">
        <v>131.39176463007735</v>
      </c>
      <c r="N74" s="33">
        <v>828.41670051263657</v>
      </c>
      <c r="O74" s="34">
        <v>959.80846514271389</v>
      </c>
      <c r="P74" s="33">
        <v>135.48328256509151</v>
      </c>
      <c r="Q74" s="33">
        <v>784.04000860383599</v>
      </c>
      <c r="R74" s="34">
        <v>919.52329116892747</v>
      </c>
      <c r="S74" s="33">
        <v>137.24337356583578</v>
      </c>
      <c r="T74" s="33">
        <v>778.15116099819045</v>
      </c>
      <c r="U74" s="34">
        <v>915.39453456402623</v>
      </c>
      <c r="V74" s="33">
        <v>137.70193132618596</v>
      </c>
      <c r="W74" s="33">
        <v>814.2047704633685</v>
      </c>
      <c r="X74" s="34">
        <v>951.90670178955452</v>
      </c>
      <c r="Y74" s="35">
        <f t="shared" si="5"/>
        <v>3.9886809290289094E-2</v>
      </c>
      <c r="Z74" s="33">
        <v>138.87090612318562</v>
      </c>
      <c r="AA74" s="33">
        <v>840.95642795304241</v>
      </c>
      <c r="AB74" s="34">
        <f t="shared" si="6"/>
        <v>979.827334076228</v>
      </c>
      <c r="AC74" s="35">
        <f t="shared" si="7"/>
        <v>2.9331269791654568E-2</v>
      </c>
      <c r="AD74" s="33">
        <v>140.8383992463022</v>
      </c>
      <c r="AE74" s="33">
        <v>866.14132070991604</v>
      </c>
      <c r="AF74" s="34">
        <f t="shared" si="8"/>
        <v>1006.9797199562182</v>
      </c>
      <c r="AG74" s="35">
        <f t="shared" si="9"/>
        <v>2.7711398667592091E-2</v>
      </c>
    </row>
    <row r="75" spans="1:33" x14ac:dyDescent="0.3">
      <c r="A75" s="31" t="s">
        <v>198</v>
      </c>
      <c r="B75" s="31">
        <v>8147</v>
      </c>
      <c r="C75" s="32" t="s">
        <v>199</v>
      </c>
      <c r="D75" s="33">
        <v>1910.442817610455</v>
      </c>
      <c r="E75" s="33">
        <v>4739.227329186826</v>
      </c>
      <c r="F75" s="33">
        <v>6649.6701467972807</v>
      </c>
      <c r="G75" s="33">
        <v>2016.0213098796153</v>
      </c>
      <c r="H75" s="33">
        <v>4715.0572698079732</v>
      </c>
      <c r="I75" s="33">
        <v>6731.078579687588</v>
      </c>
      <c r="J75" s="33">
        <v>2050.0703736364194</v>
      </c>
      <c r="K75" s="33">
        <v>4562.2894142661953</v>
      </c>
      <c r="L75" s="34">
        <v>6612.3597879026147</v>
      </c>
      <c r="M75" s="33">
        <v>2080.4241901638029</v>
      </c>
      <c r="N75" s="33">
        <v>4514.3853754164002</v>
      </c>
      <c r="O75" s="34">
        <v>6594.8095655802026</v>
      </c>
      <c r="P75" s="33">
        <v>2109.8102038453858</v>
      </c>
      <c r="Q75" s="33">
        <v>4272.5584194430603</v>
      </c>
      <c r="R75" s="34">
        <v>6382.3686232884465</v>
      </c>
      <c r="S75" s="33">
        <v>2094.2992116633977</v>
      </c>
      <c r="T75" s="33">
        <v>4240.4676522089721</v>
      </c>
      <c r="U75" s="34">
        <v>6334.7668638723699</v>
      </c>
      <c r="V75" s="33">
        <v>2109.8410422580318</v>
      </c>
      <c r="W75" s="33">
        <v>4436.9386881017244</v>
      </c>
      <c r="X75" s="34">
        <v>6546.7797303597563</v>
      </c>
      <c r="Y75" s="35">
        <f t="shared" si="5"/>
        <v>3.3468140350438214E-2</v>
      </c>
      <c r="Z75" s="33">
        <v>2143.7883605663051</v>
      </c>
      <c r="AA75" s="33">
        <v>4582.7195388074133</v>
      </c>
      <c r="AB75" s="34">
        <f t="shared" si="6"/>
        <v>6726.5078993737188</v>
      </c>
      <c r="AC75" s="35">
        <f t="shared" si="7"/>
        <v>2.7452912182228895E-2</v>
      </c>
      <c r="AD75" s="33">
        <v>2169.7529040339978</v>
      </c>
      <c r="AE75" s="33">
        <v>4719.9624402031786</v>
      </c>
      <c r="AF75" s="34">
        <f t="shared" si="8"/>
        <v>6889.7153442371764</v>
      </c>
      <c r="AG75" s="35">
        <f t="shared" si="9"/>
        <v>2.4263324641104367E-2</v>
      </c>
    </row>
    <row r="76" spans="1:33" x14ac:dyDescent="0.3">
      <c r="A76" s="31" t="s">
        <v>200</v>
      </c>
      <c r="B76" s="31">
        <v>8148</v>
      </c>
      <c r="C76" s="32" t="s">
        <v>201</v>
      </c>
      <c r="D76" s="33">
        <v>2064.8005755092486</v>
      </c>
      <c r="E76" s="33">
        <v>4360.0019336368541</v>
      </c>
      <c r="F76" s="33">
        <v>6424.8025091461022</v>
      </c>
      <c r="G76" s="33">
        <v>2563.9650883957784</v>
      </c>
      <c r="H76" s="33">
        <v>4337.765923775306</v>
      </c>
      <c r="I76" s="33">
        <v>6901.7310121710843</v>
      </c>
      <c r="J76" s="33">
        <v>2742.1208438174513</v>
      </c>
      <c r="K76" s="33">
        <v>4197.2223078449861</v>
      </c>
      <c r="L76" s="34">
        <v>6939.3431516624369</v>
      </c>
      <c r="M76" s="33">
        <v>2795.4854710174914</v>
      </c>
      <c r="N76" s="33">
        <v>4153.1514736126137</v>
      </c>
      <c r="O76" s="34">
        <v>6948.6369446301051</v>
      </c>
      <c r="P76" s="33">
        <v>3019.6169052576606</v>
      </c>
      <c r="Q76" s="33">
        <v>3930.6751241123702</v>
      </c>
      <c r="R76" s="34">
        <v>6950.2920293700308</v>
      </c>
      <c r="S76" s="33">
        <v>3077.2443542213891</v>
      </c>
      <c r="T76" s="33">
        <v>3901.152208777452</v>
      </c>
      <c r="U76" s="34">
        <v>6978.3965629988415</v>
      </c>
      <c r="V76" s="33">
        <v>3148.9318731901221</v>
      </c>
      <c r="W76" s="33">
        <v>4081.9019464236135</v>
      </c>
      <c r="X76" s="34">
        <v>7230.8338196137356</v>
      </c>
      <c r="Y76" s="35">
        <f t="shared" si="5"/>
        <v>3.6174105947686774E-2</v>
      </c>
      <c r="Z76" s="33">
        <v>3202.5833992077778</v>
      </c>
      <c r="AA76" s="33">
        <v>4216.0176464765773</v>
      </c>
      <c r="AB76" s="34">
        <f t="shared" si="6"/>
        <v>7418.6010456843551</v>
      </c>
      <c r="AC76" s="35">
        <f t="shared" si="7"/>
        <v>2.5967575905464502E-2</v>
      </c>
      <c r="AD76" s="33">
        <v>3311.1673024544903</v>
      </c>
      <c r="AE76" s="33">
        <v>4342.2785902760679</v>
      </c>
      <c r="AF76" s="34">
        <f t="shared" si="8"/>
        <v>7653.4458927305586</v>
      </c>
      <c r="AG76" s="35">
        <f t="shared" si="9"/>
        <v>3.1656217338014159E-2</v>
      </c>
    </row>
    <row r="77" spans="1:33" x14ac:dyDescent="0.3">
      <c r="A77" s="31" t="s">
        <v>202</v>
      </c>
      <c r="B77" s="31">
        <v>8153</v>
      </c>
      <c r="C77" s="32" t="s">
        <v>203</v>
      </c>
      <c r="D77" s="33">
        <v>20.012431155569708</v>
      </c>
      <c r="E77" s="33">
        <v>131.19588878000735</v>
      </c>
      <c r="F77" s="33">
        <v>151.20831993557707</v>
      </c>
      <c r="G77" s="33">
        <v>43.077606046734793</v>
      </c>
      <c r="H77" s="33">
        <v>130.52678974722932</v>
      </c>
      <c r="I77" s="33">
        <v>173.6043957939641</v>
      </c>
      <c r="J77" s="33">
        <v>43.416799795134281</v>
      </c>
      <c r="K77" s="33">
        <v>126.29772175941909</v>
      </c>
      <c r="L77" s="34">
        <v>169.71452155455336</v>
      </c>
      <c r="M77" s="33">
        <v>44.366542290652845</v>
      </c>
      <c r="N77" s="33">
        <v>124.9715956809452</v>
      </c>
      <c r="O77" s="34">
        <v>169.33813797159803</v>
      </c>
      <c r="P77" s="33">
        <v>44.163026041613151</v>
      </c>
      <c r="Q77" s="33">
        <v>118.27710727257214</v>
      </c>
      <c r="R77" s="34">
        <v>162.44013331418529</v>
      </c>
      <c r="S77" s="33">
        <v>44.328879305880733</v>
      </c>
      <c r="T77" s="33">
        <v>117.38873952051688</v>
      </c>
      <c r="U77" s="34">
        <v>161.7176188263976</v>
      </c>
      <c r="V77" s="33">
        <v>44.591611786286769</v>
      </c>
      <c r="W77" s="33">
        <v>122.82764134629218</v>
      </c>
      <c r="X77" s="34">
        <v>167.41925313257894</v>
      </c>
      <c r="Y77" s="35">
        <f t="shared" si="5"/>
        <v>3.5256729276369025E-2</v>
      </c>
      <c r="Z77" s="33">
        <v>45.814613153260034</v>
      </c>
      <c r="AA77" s="33">
        <v>126.86328828765133</v>
      </c>
      <c r="AB77" s="34">
        <f t="shared" si="6"/>
        <v>172.67790144091137</v>
      </c>
      <c r="AC77" s="35">
        <f t="shared" si="7"/>
        <v>3.1410057146582293E-2</v>
      </c>
      <c r="AD77" s="33">
        <v>47.130979273751898</v>
      </c>
      <c r="AE77" s="33">
        <v>130.66257943295577</v>
      </c>
      <c r="AF77" s="34">
        <f t="shared" si="8"/>
        <v>177.79355870670767</v>
      </c>
      <c r="AG77" s="35">
        <f t="shared" si="9"/>
        <v>2.9625431066214514E-2</v>
      </c>
    </row>
    <row r="78" spans="1:33" x14ac:dyDescent="0.3">
      <c r="A78" s="31" t="s">
        <v>204</v>
      </c>
      <c r="B78" s="31">
        <v>8154</v>
      </c>
      <c r="C78" s="32" t="s">
        <v>205</v>
      </c>
      <c r="D78" s="33">
        <v>139.13291638655741</v>
      </c>
      <c r="E78" s="33">
        <v>780.71280952982534</v>
      </c>
      <c r="F78" s="33">
        <v>919.84572591638278</v>
      </c>
      <c r="G78" s="33">
        <v>151.15456608704775</v>
      </c>
      <c r="H78" s="33">
        <v>776.73117420122321</v>
      </c>
      <c r="I78" s="33">
        <v>927.88574028827099</v>
      </c>
      <c r="J78" s="33">
        <v>153.62961161361929</v>
      </c>
      <c r="K78" s="33">
        <v>751.56508415710357</v>
      </c>
      <c r="L78" s="34">
        <v>905.19469577072289</v>
      </c>
      <c r="M78" s="33">
        <v>155.75107920782347</v>
      </c>
      <c r="N78" s="33">
        <v>743.67365077345403</v>
      </c>
      <c r="O78" s="34">
        <v>899.42472998127755</v>
      </c>
      <c r="P78" s="33">
        <v>155.39750127545611</v>
      </c>
      <c r="Q78" s="33">
        <v>703.83648131435871</v>
      </c>
      <c r="R78" s="34">
        <v>859.23398258981479</v>
      </c>
      <c r="S78" s="33">
        <v>157.42090229316292</v>
      </c>
      <c r="T78" s="33">
        <v>698.55003453578831</v>
      </c>
      <c r="U78" s="34">
        <v>855.97093682895127</v>
      </c>
      <c r="V78" s="33">
        <v>160.35832275832317</v>
      </c>
      <c r="W78" s="33">
        <v>730.9155329111079</v>
      </c>
      <c r="X78" s="34">
        <v>891.2738556694311</v>
      </c>
      <c r="Y78" s="35">
        <f t="shared" si="5"/>
        <v>4.1243127916543276E-2</v>
      </c>
      <c r="Z78" s="33">
        <v>160.46163127742597</v>
      </c>
      <c r="AA78" s="33">
        <v>754.93062432256272</v>
      </c>
      <c r="AB78" s="34">
        <f t="shared" si="6"/>
        <v>915.39225559998863</v>
      </c>
      <c r="AC78" s="35">
        <f t="shared" si="7"/>
        <v>2.7060593976968361E-2</v>
      </c>
      <c r="AD78" s="33">
        <v>162.61716738710552</v>
      </c>
      <c r="AE78" s="33">
        <v>777.53922350851849</v>
      </c>
      <c r="AF78" s="34">
        <f t="shared" si="8"/>
        <v>940.15639089562399</v>
      </c>
      <c r="AG78" s="35">
        <f t="shared" si="9"/>
        <v>2.7053031248777337E-2</v>
      </c>
    </row>
    <row r="79" spans="1:33" x14ac:dyDescent="0.3">
      <c r="A79" s="31" t="s">
        <v>206</v>
      </c>
      <c r="B79" s="31">
        <v>8155</v>
      </c>
      <c r="C79" s="32" t="s">
        <v>207</v>
      </c>
      <c r="D79" s="33">
        <v>1727.2134302786776</v>
      </c>
      <c r="E79" s="33">
        <v>4071.6445631342804</v>
      </c>
      <c r="F79" s="33">
        <v>5798.8579934129575</v>
      </c>
      <c r="G79" s="33">
        <v>1906.0163503325828</v>
      </c>
      <c r="H79" s="33">
        <v>4050.8791758622956</v>
      </c>
      <c r="I79" s="33">
        <v>5956.8955261948786</v>
      </c>
      <c r="J79" s="33">
        <v>1955.215625149963</v>
      </c>
      <c r="K79" s="33">
        <v>3919.6306905643573</v>
      </c>
      <c r="L79" s="34">
        <v>5874.8463157143206</v>
      </c>
      <c r="M79" s="33">
        <v>1998.2649906151707</v>
      </c>
      <c r="N79" s="33">
        <v>3878.474568313432</v>
      </c>
      <c r="O79" s="34">
        <v>5876.7395589286025</v>
      </c>
      <c r="P79" s="33">
        <v>2056.1196934096829</v>
      </c>
      <c r="Q79" s="33">
        <v>3670.7121331915218</v>
      </c>
      <c r="R79" s="34">
        <v>5726.8318266012047</v>
      </c>
      <c r="S79" s="33">
        <v>2112.0077742042045</v>
      </c>
      <c r="T79" s="33">
        <v>3643.1417743841289</v>
      </c>
      <c r="U79" s="34">
        <v>5755.1495485883333</v>
      </c>
      <c r="V79" s="33">
        <v>2140.100374572125</v>
      </c>
      <c r="W79" s="33">
        <v>3811.9372698395764</v>
      </c>
      <c r="X79" s="34">
        <v>5952.037644411701</v>
      </c>
      <c r="Y79" s="35">
        <f t="shared" si="5"/>
        <v>3.4210769704787536E-2</v>
      </c>
      <c r="Z79" s="33">
        <v>2196.6115681604128</v>
      </c>
      <c r="AA79" s="33">
        <v>3937.1829622184555</v>
      </c>
      <c r="AB79" s="34">
        <f t="shared" si="6"/>
        <v>6133.7945303788683</v>
      </c>
      <c r="AC79" s="35">
        <f t="shared" si="7"/>
        <v>3.053691808179626E-2</v>
      </c>
      <c r="AD79" s="33">
        <v>2228.784347389942</v>
      </c>
      <c r="AE79" s="33">
        <v>4055.0933882187887</v>
      </c>
      <c r="AF79" s="34">
        <f t="shared" si="8"/>
        <v>6283.8777356087303</v>
      </c>
      <c r="AG79" s="35">
        <f t="shared" si="9"/>
        <v>2.4468247915143682E-2</v>
      </c>
    </row>
    <row r="80" spans="1:33" x14ac:dyDescent="0.3">
      <c r="A80" s="31" t="s">
        <v>208</v>
      </c>
      <c r="B80" s="31">
        <v>8156</v>
      </c>
      <c r="C80" s="32" t="s">
        <v>209</v>
      </c>
      <c r="D80" s="33">
        <v>4184.8861841942371</v>
      </c>
      <c r="E80" s="33">
        <v>8795.1735761158052</v>
      </c>
      <c r="F80" s="33">
        <v>12980.059760310043</v>
      </c>
      <c r="G80" s="33">
        <v>4375.4227001688205</v>
      </c>
      <c r="H80" s="33">
        <v>8750.3181908776151</v>
      </c>
      <c r="I80" s="33">
        <v>13125.740891046436</v>
      </c>
      <c r="J80" s="33">
        <v>4423.842870895035</v>
      </c>
      <c r="K80" s="33">
        <v>8466.8078814931796</v>
      </c>
      <c r="L80" s="34">
        <v>12890.650752388214</v>
      </c>
      <c r="M80" s="33">
        <v>4461.572874058319</v>
      </c>
      <c r="N80" s="33">
        <v>8377.9063987375011</v>
      </c>
      <c r="O80" s="34">
        <v>12839.479272795819</v>
      </c>
      <c r="P80" s="33">
        <v>4554.0113818083646</v>
      </c>
      <c r="Q80" s="33">
        <v>7929.1180403334783</v>
      </c>
      <c r="R80" s="34">
        <v>12483.129422141843</v>
      </c>
      <c r="S80" s="33">
        <v>4539.0522955555325</v>
      </c>
      <c r="T80" s="33">
        <v>7869.5632124238064</v>
      </c>
      <c r="U80" s="34">
        <v>12408.615507979339</v>
      </c>
      <c r="V80" s="33">
        <v>4560.7129630505096</v>
      </c>
      <c r="W80" s="33">
        <v>8234.1789489836592</v>
      </c>
      <c r="X80" s="34">
        <v>12794.891912034169</v>
      </c>
      <c r="Y80" s="35">
        <f t="shared" si="5"/>
        <v>3.1129694026415411E-2</v>
      </c>
      <c r="Z80" s="33">
        <v>4597.1000382150769</v>
      </c>
      <c r="AA80" s="33">
        <v>8504.7226045146035</v>
      </c>
      <c r="AB80" s="34">
        <f t="shared" si="6"/>
        <v>13101.82264272968</v>
      </c>
      <c r="AC80" s="35">
        <f t="shared" si="7"/>
        <v>2.3988536425761264E-2</v>
      </c>
      <c r="AD80" s="33">
        <v>4668.7629613080171</v>
      </c>
      <c r="AE80" s="33">
        <v>8759.421325639807</v>
      </c>
      <c r="AF80" s="34">
        <f t="shared" si="8"/>
        <v>13428.184286947824</v>
      </c>
      <c r="AG80" s="35">
        <f t="shared" si="9"/>
        <v>2.4909636858750028E-2</v>
      </c>
    </row>
    <row r="81" spans="1:33" x14ac:dyDescent="0.3">
      <c r="A81" s="42" t="s">
        <v>210</v>
      </c>
      <c r="B81" s="42">
        <v>8157</v>
      </c>
      <c r="C81" s="43" t="s">
        <v>211</v>
      </c>
      <c r="D81" s="44">
        <v>1955.379583774795</v>
      </c>
      <c r="E81" s="44">
        <v>3392.91957371126</v>
      </c>
      <c r="F81" s="44">
        <v>5348.2991574860553</v>
      </c>
      <c r="G81" s="44">
        <v>2043.7289603174434</v>
      </c>
      <c r="H81" s="44">
        <v>3375.6156838853326</v>
      </c>
      <c r="I81" s="44">
        <v>5419.3446442027762</v>
      </c>
      <c r="J81" s="44">
        <v>2066.5587361887578</v>
      </c>
      <c r="K81" s="44">
        <v>3266.2457357274479</v>
      </c>
      <c r="L81" s="45">
        <v>5332.8044719162062</v>
      </c>
      <c r="M81" s="44">
        <v>2090.5021596635515</v>
      </c>
      <c r="N81" s="44">
        <v>3231.9501555023098</v>
      </c>
      <c r="O81" s="45">
        <v>5322.4523151658614</v>
      </c>
      <c r="P81" s="44">
        <v>2089.0172961922467</v>
      </c>
      <c r="Q81" s="44">
        <v>3058.8207917092168</v>
      </c>
      <c r="R81" s="45">
        <v>5147.838087901464</v>
      </c>
      <c r="S81" s="44">
        <v>2081.9331005187237</v>
      </c>
      <c r="T81" s="44">
        <v>3035.8462887531346</v>
      </c>
      <c r="U81" s="45">
        <v>5117.7793892718582</v>
      </c>
      <c r="V81" s="44">
        <v>2092.2978060927453</v>
      </c>
      <c r="W81" s="44">
        <v>3176.5043279323245</v>
      </c>
      <c r="X81" s="45">
        <v>5268.8021340250698</v>
      </c>
      <c r="Y81" s="46">
        <f t="shared" si="5"/>
        <v>2.9509428458325715E-2</v>
      </c>
      <c r="Z81" s="44">
        <v>2116.2983934188987</v>
      </c>
      <c r="AA81" s="44">
        <v>3280.8721219787185</v>
      </c>
      <c r="AB81" s="45">
        <f t="shared" si="6"/>
        <v>5397.1705153976172</v>
      </c>
      <c r="AC81" s="46">
        <f t="shared" si="7"/>
        <v>2.4363864519330702E-2</v>
      </c>
      <c r="AD81" s="44">
        <v>2143.6383984829163</v>
      </c>
      <c r="AE81" s="44">
        <v>3379.1274058370927</v>
      </c>
      <c r="AF81" s="45">
        <f t="shared" si="8"/>
        <v>5522.765804320009</v>
      </c>
      <c r="AG81" s="46">
        <f t="shared" si="9"/>
        <v>2.3270580124174378E-2</v>
      </c>
    </row>
    <row r="82" spans="1:33" x14ac:dyDescent="0.3">
      <c r="A82" s="42" t="s">
        <v>212</v>
      </c>
      <c r="B82" s="42">
        <v>8158</v>
      </c>
      <c r="C82" s="43" t="s">
        <v>213</v>
      </c>
      <c r="D82" s="44">
        <v>344.82619979757743</v>
      </c>
      <c r="E82" s="44">
        <v>1270.3700210618931</v>
      </c>
      <c r="F82" s="44">
        <v>1615.1962208594705</v>
      </c>
      <c r="G82" s="44">
        <v>353.60157857624603</v>
      </c>
      <c r="H82" s="44">
        <v>1263.8911339544775</v>
      </c>
      <c r="I82" s="44">
        <v>1617.4927125307236</v>
      </c>
      <c r="J82" s="44">
        <v>360.2523919663949</v>
      </c>
      <c r="K82" s="44">
        <v>1222.9410612143524</v>
      </c>
      <c r="L82" s="45">
        <v>1583.1934531807474</v>
      </c>
      <c r="M82" s="44">
        <v>363.67017106966586</v>
      </c>
      <c r="N82" s="44">
        <v>1210.1001800716017</v>
      </c>
      <c r="O82" s="45">
        <v>1573.7703511412676</v>
      </c>
      <c r="P82" s="44">
        <v>370.78284650079729</v>
      </c>
      <c r="Q82" s="44">
        <v>1145.2774370769337</v>
      </c>
      <c r="R82" s="45">
        <v>1516.0602835777308</v>
      </c>
      <c r="S82" s="44">
        <v>376.78727773691787</v>
      </c>
      <c r="T82" s="44">
        <v>1136.6753705763474</v>
      </c>
      <c r="U82" s="45">
        <v>1513.4626483132652</v>
      </c>
      <c r="V82" s="44">
        <v>381.12719093604562</v>
      </c>
      <c r="W82" s="44">
        <v>1189.3402664904993</v>
      </c>
      <c r="X82" s="45">
        <v>1570.467457426545</v>
      </c>
      <c r="Y82" s="46">
        <f t="shared" si="5"/>
        <v>3.7665157562237095E-2</v>
      </c>
      <c r="Z82" s="44">
        <v>385.06770938526773</v>
      </c>
      <c r="AA82" s="44">
        <v>1228.4174428987437</v>
      </c>
      <c r="AB82" s="45">
        <f t="shared" si="6"/>
        <v>1613.4851522840115</v>
      </c>
      <c r="AC82" s="46">
        <f t="shared" si="7"/>
        <v>2.7391649953675268E-2</v>
      </c>
      <c r="AD82" s="44">
        <v>387.66176006679433</v>
      </c>
      <c r="AE82" s="44">
        <v>1265.2059857194251</v>
      </c>
      <c r="AF82" s="45">
        <f t="shared" si="8"/>
        <v>1652.8677457862195</v>
      </c>
      <c r="AG82" s="46">
        <f t="shared" si="9"/>
        <v>2.4408401556381909E-2</v>
      </c>
    </row>
    <row r="83" spans="1:33" x14ac:dyDescent="0.3">
      <c r="A83" s="42" t="s">
        <v>214</v>
      </c>
      <c r="B83" s="42">
        <v>8159</v>
      </c>
      <c r="C83" s="43" t="s">
        <v>215</v>
      </c>
      <c r="D83" s="44">
        <v>7619.8385582113115</v>
      </c>
      <c r="E83" s="44">
        <v>14353.891237180651</v>
      </c>
      <c r="F83" s="44">
        <v>21973.729795391962</v>
      </c>
      <c r="G83" s="44">
        <v>7996.3504128819613</v>
      </c>
      <c r="H83" s="44">
        <v>14280.68639187103</v>
      </c>
      <c r="I83" s="44">
        <v>22277.036804752992</v>
      </c>
      <c r="J83" s="44">
        <v>8185.7669809530162</v>
      </c>
      <c r="K83" s="44">
        <v>13817.992152774408</v>
      </c>
      <c r="L83" s="45">
        <v>22003.759133727424</v>
      </c>
      <c r="M83" s="44">
        <v>8266.0833198654982</v>
      </c>
      <c r="N83" s="44">
        <v>13672.903235170277</v>
      </c>
      <c r="O83" s="45">
        <v>21938.986555035775</v>
      </c>
      <c r="P83" s="44">
        <v>8585.0273940439638</v>
      </c>
      <c r="Q83" s="44">
        <v>12940.47206376762</v>
      </c>
      <c r="R83" s="45">
        <v>21525.499457811584</v>
      </c>
      <c r="S83" s="44">
        <v>8654.740463129694</v>
      </c>
      <c r="T83" s="44">
        <v>12843.277447303672</v>
      </c>
      <c r="U83" s="45">
        <v>21498.017910433366</v>
      </c>
      <c r="V83" s="44">
        <v>8749.8060690549373</v>
      </c>
      <c r="W83" s="44">
        <v>13438.337292416583</v>
      </c>
      <c r="X83" s="45">
        <v>22188.143361471521</v>
      </c>
      <c r="Y83" s="46">
        <f t="shared" si="5"/>
        <v>3.2101817661209786E-2</v>
      </c>
      <c r="Z83" s="44">
        <v>8906.3411177501475</v>
      </c>
      <c r="AA83" s="44">
        <v>13879.869704800814</v>
      </c>
      <c r="AB83" s="45">
        <f t="shared" si="6"/>
        <v>22786.210822550962</v>
      </c>
      <c r="AC83" s="46">
        <f t="shared" si="7"/>
        <v>2.6954371590998116E-2</v>
      </c>
      <c r="AD83" s="44">
        <v>8977.540484296107</v>
      </c>
      <c r="AE83" s="44">
        <v>14295.542881645009</v>
      </c>
      <c r="AF83" s="45">
        <f t="shared" si="8"/>
        <v>23273.083365941115</v>
      </c>
      <c r="AG83" s="46">
        <f t="shared" si="9"/>
        <v>2.1366981424937315E-2</v>
      </c>
    </row>
    <row r="84" spans="1:33" x14ac:dyDescent="0.3">
      <c r="A84" s="31" t="s">
        <v>216</v>
      </c>
      <c r="B84" s="31">
        <v>8163</v>
      </c>
      <c r="C84" s="32" t="s">
        <v>217</v>
      </c>
      <c r="D84" s="33">
        <v>3064.0040964790451</v>
      </c>
      <c r="E84" s="33">
        <v>6496.1539979058125</v>
      </c>
      <c r="F84" s="33">
        <v>9560.1580943848567</v>
      </c>
      <c r="G84" s="33">
        <v>3115.303098564857</v>
      </c>
      <c r="H84" s="33">
        <v>6463.0236125164929</v>
      </c>
      <c r="I84" s="33">
        <v>9578.3267110813504</v>
      </c>
      <c r="J84" s="33">
        <v>3147.9806830316979</v>
      </c>
      <c r="K84" s="33">
        <v>6253.621647470959</v>
      </c>
      <c r="L84" s="34">
        <v>9401.6023305026574</v>
      </c>
      <c r="M84" s="33">
        <v>3110.7378477937546</v>
      </c>
      <c r="N84" s="33">
        <v>6187.9586201725142</v>
      </c>
      <c r="O84" s="34">
        <v>9298.6964679662688</v>
      </c>
      <c r="P84" s="33">
        <v>3131.5217526200909</v>
      </c>
      <c r="Q84" s="33">
        <v>5856.4815590970011</v>
      </c>
      <c r="R84" s="34">
        <v>8988.0033117170915</v>
      </c>
      <c r="S84" s="33">
        <v>3130.0225081703002</v>
      </c>
      <c r="T84" s="33">
        <v>5812.4941005128285</v>
      </c>
      <c r="U84" s="34">
        <v>8942.5166086831287</v>
      </c>
      <c r="V84" s="33">
        <v>3145.8301007809096</v>
      </c>
      <c r="W84" s="33">
        <v>6081.8008918176456</v>
      </c>
      <c r="X84" s="34">
        <v>9227.6309925985552</v>
      </c>
      <c r="Y84" s="35">
        <f t="shared" si="5"/>
        <v>3.1883014188487158E-2</v>
      </c>
      <c r="Z84" s="33">
        <v>3192.7699874898408</v>
      </c>
      <c r="AA84" s="33">
        <v>6281.6256291324444</v>
      </c>
      <c r="AB84" s="34">
        <f t="shared" si="6"/>
        <v>9474.3956166222852</v>
      </c>
      <c r="AC84" s="35">
        <f t="shared" si="7"/>
        <v>2.6741925876929695E-2</v>
      </c>
      <c r="AD84" s="33">
        <v>3241.5863013258022</v>
      </c>
      <c r="AE84" s="33">
        <v>6469.7472280048214</v>
      </c>
      <c r="AF84" s="34">
        <f t="shared" si="8"/>
        <v>9711.3335293306227</v>
      </c>
      <c r="AG84" s="35">
        <f t="shared" si="9"/>
        <v>2.5008235068065376E-2</v>
      </c>
    </row>
    <row r="85" spans="1:33" x14ac:dyDescent="0.3">
      <c r="A85" s="31" t="s">
        <v>218</v>
      </c>
      <c r="B85" s="31">
        <v>8164</v>
      </c>
      <c r="C85" s="32" t="s">
        <v>219</v>
      </c>
      <c r="D85" s="33">
        <v>94.171739185115953</v>
      </c>
      <c r="E85" s="33">
        <v>353.8477567022893</v>
      </c>
      <c r="F85" s="33">
        <v>448.01949588740524</v>
      </c>
      <c r="G85" s="33">
        <v>101.55577458846018</v>
      </c>
      <c r="H85" s="33">
        <v>352.04313314310764</v>
      </c>
      <c r="I85" s="33">
        <v>453.59890773156781</v>
      </c>
      <c r="J85" s="33">
        <v>105.2983678750867</v>
      </c>
      <c r="K85" s="33">
        <v>340.63693562927097</v>
      </c>
      <c r="L85" s="34">
        <v>445.93530350435765</v>
      </c>
      <c r="M85" s="33">
        <v>111.56974040943383</v>
      </c>
      <c r="N85" s="33">
        <v>337.06024780516361</v>
      </c>
      <c r="O85" s="34">
        <v>448.62998821459746</v>
      </c>
      <c r="P85" s="33">
        <v>121.17910155077219</v>
      </c>
      <c r="Q85" s="33">
        <v>319.00457755817592</v>
      </c>
      <c r="R85" s="34">
        <v>440.18367910894813</v>
      </c>
      <c r="S85" s="33">
        <v>123.1756992442686</v>
      </c>
      <c r="T85" s="33">
        <v>316.60856546424122</v>
      </c>
      <c r="U85" s="34">
        <v>439.7842647085098</v>
      </c>
      <c r="V85" s="33">
        <v>125.24964577868184</v>
      </c>
      <c r="W85" s="33">
        <v>331.27779959856457</v>
      </c>
      <c r="X85" s="34">
        <v>456.52744537724641</v>
      </c>
      <c r="Y85" s="35">
        <f t="shared" si="5"/>
        <v>3.8071350005744353E-2</v>
      </c>
      <c r="Z85" s="33">
        <v>126.77633503661748</v>
      </c>
      <c r="AA85" s="33">
        <v>342.16232220305642</v>
      </c>
      <c r="AB85" s="34">
        <f t="shared" si="6"/>
        <v>468.93865723967389</v>
      </c>
      <c r="AC85" s="35">
        <f t="shared" si="7"/>
        <v>2.7186124269421796E-2</v>
      </c>
      <c r="AD85" s="33">
        <v>130.84907556956767</v>
      </c>
      <c r="AE85" s="33">
        <v>352.4093708059217</v>
      </c>
      <c r="AF85" s="34">
        <f t="shared" si="8"/>
        <v>483.25844637548937</v>
      </c>
      <c r="AG85" s="35">
        <f t="shared" si="9"/>
        <v>3.0536593464284723E-2</v>
      </c>
    </row>
    <row r="86" spans="1:33" x14ac:dyDescent="0.3">
      <c r="A86" s="31" t="s">
        <v>220</v>
      </c>
      <c r="B86" s="31">
        <v>8167</v>
      </c>
      <c r="C86" s="32" t="s">
        <v>221</v>
      </c>
      <c r="D86" s="33">
        <v>835.11438354753784</v>
      </c>
      <c r="E86" s="33">
        <v>3432.027615623218</v>
      </c>
      <c r="F86" s="33">
        <v>4267.1419991707562</v>
      </c>
      <c r="G86" s="33">
        <v>914.00824680698145</v>
      </c>
      <c r="H86" s="33">
        <v>3414.5242747835396</v>
      </c>
      <c r="I86" s="33">
        <v>4328.5325215905214</v>
      </c>
      <c r="J86" s="33">
        <v>947.71407571125087</v>
      </c>
      <c r="K86" s="33">
        <v>3303.8936882805529</v>
      </c>
      <c r="L86" s="34">
        <v>4251.6077639918039</v>
      </c>
      <c r="M86" s="33">
        <v>962.7767538296423</v>
      </c>
      <c r="N86" s="33">
        <v>3269.2028045536072</v>
      </c>
      <c r="O86" s="34">
        <v>4231.9795583832492</v>
      </c>
      <c r="P86" s="33">
        <v>1000.8038428498437</v>
      </c>
      <c r="Q86" s="33">
        <v>3094.0778878839087</v>
      </c>
      <c r="R86" s="34">
        <v>4094.8817307337522</v>
      </c>
      <c r="S86" s="33">
        <v>1014.1585088402883</v>
      </c>
      <c r="T86" s="33">
        <v>3070.8385723364891</v>
      </c>
      <c r="U86" s="34">
        <v>4084.9970811767771</v>
      </c>
      <c r="V86" s="33">
        <v>1025.7950502863382</v>
      </c>
      <c r="W86" s="33">
        <v>3213.1178879332206</v>
      </c>
      <c r="X86" s="34">
        <v>4238.9129382195588</v>
      </c>
      <c r="Y86" s="35">
        <f t="shared" si="5"/>
        <v>3.7678327299671688E-2</v>
      </c>
      <c r="Z86" s="33">
        <v>1042.1049727043369</v>
      </c>
      <c r="AA86" s="33">
        <v>3318.6886636522277</v>
      </c>
      <c r="AB86" s="34">
        <f t="shared" si="6"/>
        <v>4360.7936363565641</v>
      </c>
      <c r="AC86" s="35">
        <f t="shared" si="7"/>
        <v>2.8752819393407458E-2</v>
      </c>
      <c r="AD86" s="33">
        <v>1061.7872146790457</v>
      </c>
      <c r="AE86" s="33">
        <v>3418.0764741372204</v>
      </c>
      <c r="AF86" s="34">
        <f t="shared" si="8"/>
        <v>4479.8636888162664</v>
      </c>
      <c r="AG86" s="35">
        <f t="shared" si="9"/>
        <v>2.7304674880048951E-2</v>
      </c>
    </row>
    <row r="87" spans="1:33" x14ac:dyDescent="0.3">
      <c r="A87" s="31" t="s">
        <v>222</v>
      </c>
      <c r="B87" s="31">
        <v>8168</v>
      </c>
      <c r="C87" s="32" t="s">
        <v>223</v>
      </c>
      <c r="D87" s="33">
        <v>168.30015037825896</v>
      </c>
      <c r="E87" s="33">
        <v>271.8601204629241</v>
      </c>
      <c r="F87" s="33">
        <v>440.16027084118309</v>
      </c>
      <c r="G87" s="33">
        <v>188.57727692985642</v>
      </c>
      <c r="H87" s="33">
        <v>270.47363384856317</v>
      </c>
      <c r="I87" s="33">
        <v>459.05091077841962</v>
      </c>
      <c r="J87" s="33">
        <v>179.11461787244426</v>
      </c>
      <c r="K87" s="33">
        <v>261.71028811186972</v>
      </c>
      <c r="L87" s="34">
        <v>440.824905984314</v>
      </c>
      <c r="M87" s="33">
        <v>182.1561868551839</v>
      </c>
      <c r="N87" s="33">
        <v>258.96233008669509</v>
      </c>
      <c r="O87" s="34">
        <v>441.11851694187897</v>
      </c>
      <c r="P87" s="33">
        <v>179.45256998163757</v>
      </c>
      <c r="Q87" s="33">
        <v>245.09021532714107</v>
      </c>
      <c r="R87" s="34">
        <v>424.54278530877866</v>
      </c>
      <c r="S87" s="33">
        <v>179.47863250967649</v>
      </c>
      <c r="T87" s="33">
        <v>243.24936675837156</v>
      </c>
      <c r="U87" s="34">
        <v>422.72799926804805</v>
      </c>
      <c r="V87" s="33">
        <v>181.96589786204956</v>
      </c>
      <c r="W87" s="33">
        <v>254.51969328530015</v>
      </c>
      <c r="X87" s="34">
        <v>436.48559114734974</v>
      </c>
      <c r="Y87" s="35">
        <f t="shared" si="5"/>
        <v>3.2544785070122817E-2</v>
      </c>
      <c r="Z87" s="33">
        <v>182.34014387797248</v>
      </c>
      <c r="AA87" s="33">
        <v>262.88223782709923</v>
      </c>
      <c r="AB87" s="34">
        <f t="shared" si="6"/>
        <v>445.22238170507171</v>
      </c>
      <c r="AC87" s="35">
        <f t="shared" si="7"/>
        <v>2.0016217568044725E-2</v>
      </c>
      <c r="AD87" s="33">
        <v>182.78917883007855</v>
      </c>
      <c r="AE87" s="33">
        <v>270.75501309498998</v>
      </c>
      <c r="AF87" s="34">
        <f t="shared" si="8"/>
        <v>453.5441919250685</v>
      </c>
      <c r="AG87" s="35">
        <f t="shared" si="9"/>
        <v>1.869135641412889E-2</v>
      </c>
    </row>
    <row r="88" spans="1:33" x14ac:dyDescent="0.3">
      <c r="A88" s="36" t="s">
        <v>224</v>
      </c>
      <c r="B88" s="36">
        <v>8169</v>
      </c>
      <c r="C88" s="37" t="s">
        <v>225</v>
      </c>
      <c r="D88" s="38">
        <v>23534.15695773287</v>
      </c>
      <c r="E88" s="38">
        <v>55816.416721877737</v>
      </c>
      <c r="F88" s="38">
        <v>79350.573679610607</v>
      </c>
      <c r="G88" s="38">
        <v>23470.72156660863</v>
      </c>
      <c r="H88" s="38">
        <v>55531.752996596158</v>
      </c>
      <c r="I88" s="38">
        <v>79002.474563204785</v>
      </c>
      <c r="J88" s="38">
        <v>23664.386084217338</v>
      </c>
      <c r="K88" s="38">
        <v>53732.524199506443</v>
      </c>
      <c r="L88" s="39">
        <v>77396.910283723788</v>
      </c>
      <c r="M88" s="38">
        <v>23670.356473970209</v>
      </c>
      <c r="N88" s="38">
        <v>53168.332695411627</v>
      </c>
      <c r="O88" s="39">
        <v>76838.689169381832</v>
      </c>
      <c r="P88" s="38">
        <v>23568.859848171429</v>
      </c>
      <c r="Q88" s="38">
        <v>50320.207207515457</v>
      </c>
      <c r="R88" s="39">
        <v>73889.067055686886</v>
      </c>
      <c r="S88" s="38">
        <v>23584.288328014238</v>
      </c>
      <c r="T88" s="38">
        <v>49942.257066607155</v>
      </c>
      <c r="U88" s="39">
        <v>73526.545394621397</v>
      </c>
      <c r="V88" s="38">
        <v>23695.069451718678</v>
      </c>
      <c r="W88" s="38">
        <v>52256.20160892362</v>
      </c>
      <c r="X88" s="39">
        <v>75951.271060642292</v>
      </c>
      <c r="Y88" s="40">
        <f t="shared" si="5"/>
        <v>3.2977554609797677E-2</v>
      </c>
      <c r="Z88" s="38">
        <v>23904.422074965794</v>
      </c>
      <c r="AA88" s="38">
        <v>53973.140710567175</v>
      </c>
      <c r="AB88" s="39">
        <f t="shared" si="6"/>
        <v>77877.562785532966</v>
      </c>
      <c r="AC88" s="40">
        <f t="shared" si="7"/>
        <v>2.53622052401552E-2</v>
      </c>
      <c r="AD88" s="38">
        <v>24111.590973711693</v>
      </c>
      <c r="AE88" s="38">
        <v>55589.523813620392</v>
      </c>
      <c r="AF88" s="39">
        <f t="shared" si="8"/>
        <v>79701.114787332088</v>
      </c>
      <c r="AG88" s="40">
        <f t="shared" si="9"/>
        <v>2.34156275129076E-2</v>
      </c>
    </row>
    <row r="89" spans="1:33" x14ac:dyDescent="0.3">
      <c r="A89" s="31" t="s">
        <v>226</v>
      </c>
      <c r="B89" s="31">
        <v>8172</v>
      </c>
      <c r="C89" s="32" t="s">
        <v>227</v>
      </c>
      <c r="D89" s="33">
        <v>1114.8935522850561</v>
      </c>
      <c r="E89" s="33">
        <v>3463.8284329849612</v>
      </c>
      <c r="F89" s="33">
        <v>4578.7219852700173</v>
      </c>
      <c r="G89" s="33">
        <v>1102.2879719200241</v>
      </c>
      <c r="H89" s="33">
        <v>3446.1629079767381</v>
      </c>
      <c r="I89" s="33">
        <v>4548.4508798967618</v>
      </c>
      <c r="J89" s="33">
        <v>1096.4453854651204</v>
      </c>
      <c r="K89" s="33">
        <v>3334.5072297582919</v>
      </c>
      <c r="L89" s="34">
        <v>4430.9526152234121</v>
      </c>
      <c r="M89" s="33">
        <v>1112.5725247892724</v>
      </c>
      <c r="N89" s="33">
        <v>3299.4949038458299</v>
      </c>
      <c r="O89" s="34">
        <v>4412.0674286351023</v>
      </c>
      <c r="P89" s="33">
        <v>1126.2986011867517</v>
      </c>
      <c r="Q89" s="33">
        <v>3122.7472975843716</v>
      </c>
      <c r="R89" s="34">
        <v>4249.0458987711236</v>
      </c>
      <c r="S89" s="33">
        <v>1116.7005041316354</v>
      </c>
      <c r="T89" s="33">
        <v>3099.2926489125998</v>
      </c>
      <c r="U89" s="34">
        <v>4215.9931530442354</v>
      </c>
      <c r="V89" s="33">
        <v>1119.2478565408567</v>
      </c>
      <c r="W89" s="33">
        <v>3242.8903101161818</v>
      </c>
      <c r="X89" s="34">
        <v>4362.1381666570387</v>
      </c>
      <c r="Y89" s="35">
        <f t="shared" si="5"/>
        <v>3.4664433339337108E-2</v>
      </c>
      <c r="Z89" s="33">
        <v>1131.869791925571</v>
      </c>
      <c r="AA89" s="33">
        <v>3349.4392938606998</v>
      </c>
      <c r="AB89" s="34">
        <f t="shared" si="6"/>
        <v>4481.3090857862708</v>
      </c>
      <c r="AC89" s="35">
        <f t="shared" si="7"/>
        <v>2.7319382049872054E-2</v>
      </c>
      <c r="AD89" s="33">
        <v>1139.0457045747503</v>
      </c>
      <c r="AE89" s="33">
        <v>3449.7480216468325</v>
      </c>
      <c r="AF89" s="34">
        <f t="shared" si="8"/>
        <v>4588.7937262215828</v>
      </c>
      <c r="AG89" s="35">
        <f t="shared" si="9"/>
        <v>2.3985098634733637E-2</v>
      </c>
    </row>
    <row r="90" spans="1:33" x14ac:dyDescent="0.3">
      <c r="A90" s="31" t="s">
        <v>228</v>
      </c>
      <c r="B90" s="31">
        <v>8174</v>
      </c>
      <c r="C90" s="32" t="s">
        <v>229</v>
      </c>
      <c r="D90" s="33">
        <v>14.307323474284139</v>
      </c>
      <c r="E90" s="33">
        <v>73.011701654687627</v>
      </c>
      <c r="F90" s="33">
        <v>87.319025128971759</v>
      </c>
      <c r="G90" s="33">
        <v>18.368022709691044</v>
      </c>
      <c r="H90" s="33">
        <v>72.639341976248716</v>
      </c>
      <c r="I90" s="33">
        <v>91.007364685939763</v>
      </c>
      <c r="J90" s="33">
        <v>19.278833753146799</v>
      </c>
      <c r="K90" s="33">
        <v>70.285827296218258</v>
      </c>
      <c r="L90" s="34">
        <v>89.564661049365057</v>
      </c>
      <c r="M90" s="33">
        <v>19.810140195162653</v>
      </c>
      <c r="N90" s="33">
        <v>69.547826109607968</v>
      </c>
      <c r="O90" s="34">
        <v>89.357966304770628</v>
      </c>
      <c r="P90" s="33">
        <v>20.303496177034518</v>
      </c>
      <c r="Q90" s="33">
        <v>65.822282611652099</v>
      </c>
      <c r="R90" s="34">
        <v>86.125778788686617</v>
      </c>
      <c r="S90" s="33">
        <v>20.354771965876044</v>
      </c>
      <c r="T90" s="33">
        <v>65.327897902833485</v>
      </c>
      <c r="U90" s="34">
        <v>85.682669868709525</v>
      </c>
      <c r="V90" s="33">
        <v>20.425001178167427</v>
      </c>
      <c r="W90" s="33">
        <v>68.354696083213327</v>
      </c>
      <c r="X90" s="34">
        <v>88.779697261380761</v>
      </c>
      <c r="Y90" s="35">
        <f t="shared" si="5"/>
        <v>3.6145318503925772E-2</v>
      </c>
      <c r="Z90" s="33">
        <v>20.505201650100975</v>
      </c>
      <c r="AA90" s="33">
        <v>70.600570197151782</v>
      </c>
      <c r="AB90" s="34">
        <f t="shared" si="6"/>
        <v>91.105771847252754</v>
      </c>
      <c r="AC90" s="35">
        <f t="shared" si="7"/>
        <v>2.6200523966911859E-2</v>
      </c>
      <c r="AD90" s="33">
        <v>20.659939229925023</v>
      </c>
      <c r="AE90" s="33">
        <v>72.714910167555914</v>
      </c>
      <c r="AF90" s="34">
        <f t="shared" si="8"/>
        <v>93.374849397480943</v>
      </c>
      <c r="AG90" s="35">
        <f t="shared" si="9"/>
        <v>2.4905969229177982E-2</v>
      </c>
    </row>
    <row r="91" spans="1:33" x14ac:dyDescent="0.3">
      <c r="A91" s="31" t="s">
        <v>230</v>
      </c>
      <c r="B91" s="31">
        <v>8179</v>
      </c>
      <c r="C91" s="32" t="s">
        <v>231</v>
      </c>
      <c r="D91" s="33">
        <v>160.18814966782656</v>
      </c>
      <c r="E91" s="33">
        <v>629.03058044823331</v>
      </c>
      <c r="F91" s="33">
        <v>789.21873011605987</v>
      </c>
      <c r="G91" s="33">
        <v>168.03810493485636</v>
      </c>
      <c r="H91" s="33">
        <v>625.82252448794736</v>
      </c>
      <c r="I91" s="33">
        <v>793.86062942280375</v>
      </c>
      <c r="J91" s="33">
        <v>174.90681579350743</v>
      </c>
      <c r="K91" s="33">
        <v>605.54587469453793</v>
      </c>
      <c r="L91" s="34">
        <v>780.45269048804539</v>
      </c>
      <c r="M91" s="33">
        <v>178.34117122283297</v>
      </c>
      <c r="N91" s="33">
        <v>599.18764301024532</v>
      </c>
      <c r="O91" s="34">
        <v>777.52881423307826</v>
      </c>
      <c r="P91" s="33">
        <v>180.3036600395904</v>
      </c>
      <c r="Q91" s="33">
        <v>567.09031154291517</v>
      </c>
      <c r="R91" s="34">
        <v>747.39397158250563</v>
      </c>
      <c r="S91" s="33">
        <v>185.2818100329149</v>
      </c>
      <c r="T91" s="33">
        <v>562.83095183337548</v>
      </c>
      <c r="U91" s="34">
        <v>748.11276186629038</v>
      </c>
      <c r="V91" s="33">
        <v>189.35710292938134</v>
      </c>
      <c r="W91" s="33">
        <v>588.90825962314329</v>
      </c>
      <c r="X91" s="34">
        <v>778.26536255252461</v>
      </c>
      <c r="Y91" s="35">
        <f t="shared" si="5"/>
        <v>4.0304887475804518E-2</v>
      </c>
      <c r="Z91" s="33">
        <v>191.31119889223794</v>
      </c>
      <c r="AA91" s="33">
        <v>608.25753467751622</v>
      </c>
      <c r="AB91" s="34">
        <f t="shared" si="6"/>
        <v>799.56873356975416</v>
      </c>
      <c r="AC91" s="35">
        <f t="shared" si="7"/>
        <v>2.7372888531695061E-2</v>
      </c>
      <c r="AD91" s="33">
        <v>194.46778460843473</v>
      </c>
      <c r="AE91" s="33">
        <v>626.4735804442405</v>
      </c>
      <c r="AF91" s="34">
        <f t="shared" si="8"/>
        <v>820.94136505267522</v>
      </c>
      <c r="AG91" s="35">
        <f t="shared" si="9"/>
        <v>2.673019915061059E-2</v>
      </c>
    </row>
    <row r="92" spans="1:33" x14ac:dyDescent="0.3">
      <c r="A92" s="42" t="s">
        <v>232</v>
      </c>
      <c r="B92" s="42">
        <v>8180</v>
      </c>
      <c r="C92" s="43" t="s">
        <v>233</v>
      </c>
      <c r="D92" s="44">
        <v>4985.5706214770817</v>
      </c>
      <c r="E92" s="44">
        <v>8926.683554878924</v>
      </c>
      <c r="F92" s="44">
        <v>13912.254176356006</v>
      </c>
      <c r="G92" s="44">
        <v>5102.0933999958106</v>
      </c>
      <c r="H92" s="44">
        <v>8881.1574687490411</v>
      </c>
      <c r="I92" s="44">
        <v>13983.250868744852</v>
      </c>
      <c r="J92" s="44">
        <v>5219.319818481441</v>
      </c>
      <c r="K92" s="44">
        <v>8593.4079667615715</v>
      </c>
      <c r="L92" s="45">
        <v>13812.727785243012</v>
      </c>
      <c r="M92" s="44">
        <v>5228.1856820643879</v>
      </c>
      <c r="N92" s="44">
        <v>8503.1771831105762</v>
      </c>
      <c r="O92" s="45">
        <v>13731.362865174964</v>
      </c>
      <c r="P92" s="44">
        <v>5266.3229682703977</v>
      </c>
      <c r="Q92" s="44">
        <v>8047.6783093344493</v>
      </c>
      <c r="R92" s="45">
        <v>13314.001277604846</v>
      </c>
      <c r="S92" s="44">
        <v>5268.1021914234861</v>
      </c>
      <c r="T92" s="44">
        <v>7987.2329868727529</v>
      </c>
      <c r="U92" s="45">
        <v>13255.335178296238</v>
      </c>
      <c r="V92" s="44">
        <v>5300.9464690310115</v>
      </c>
      <c r="W92" s="44">
        <v>8357.3006462805988</v>
      </c>
      <c r="X92" s="45">
        <v>13658.247115311609</v>
      </c>
      <c r="Y92" s="46">
        <f t="shared" si="5"/>
        <v>3.0396208892181198E-2</v>
      </c>
      <c r="Z92" s="44">
        <v>5373.2937968316983</v>
      </c>
      <c r="AA92" s="44">
        <v>8631.8896103077841</v>
      </c>
      <c r="AB92" s="45">
        <f t="shared" si="6"/>
        <v>14005.183407139482</v>
      </c>
      <c r="AC92" s="46">
        <f t="shared" si="7"/>
        <v>2.5401231131551238E-2</v>
      </c>
      <c r="AD92" s="44">
        <v>5445.4473692926113</v>
      </c>
      <c r="AE92" s="44">
        <v>8890.3967182847409</v>
      </c>
      <c r="AF92" s="45">
        <f t="shared" si="8"/>
        <v>14335.844087577352</v>
      </c>
      <c r="AG92" s="46">
        <f t="shared" si="9"/>
        <v>2.3609878630315384E-2</v>
      </c>
    </row>
    <row r="93" spans="1:33" x14ac:dyDescent="0.3">
      <c r="A93" s="31" t="s">
        <v>234</v>
      </c>
      <c r="B93" s="31">
        <v>8181</v>
      </c>
      <c r="C93" s="32" t="s">
        <v>235</v>
      </c>
      <c r="D93" s="33">
        <v>901.72730139368673</v>
      </c>
      <c r="E93" s="33">
        <v>4255.0398763090916</v>
      </c>
      <c r="F93" s="33">
        <v>5156.7671777027781</v>
      </c>
      <c r="G93" s="33">
        <v>960.51478950748208</v>
      </c>
      <c r="H93" s="33">
        <v>4233.3391729399154</v>
      </c>
      <c r="I93" s="33">
        <v>5193.8539624473979</v>
      </c>
      <c r="J93" s="33">
        <v>977.94039673339535</v>
      </c>
      <c r="K93" s="33">
        <v>4096.1789837366623</v>
      </c>
      <c r="L93" s="34">
        <v>5074.1193804700579</v>
      </c>
      <c r="M93" s="33">
        <v>985.31276902128184</v>
      </c>
      <c r="N93" s="33">
        <v>4053.1691044074273</v>
      </c>
      <c r="O93" s="34">
        <v>5038.4818734287092</v>
      </c>
      <c r="P93" s="33">
        <v>995.07876867536504</v>
      </c>
      <c r="Q93" s="33">
        <v>3836.0486184379224</v>
      </c>
      <c r="R93" s="34">
        <v>4831.1273871132871</v>
      </c>
      <c r="S93" s="33">
        <v>995.22598133900988</v>
      </c>
      <c r="T93" s="33">
        <v>3807.236433506117</v>
      </c>
      <c r="U93" s="34">
        <v>4802.4624148451267</v>
      </c>
      <c r="V93" s="33">
        <v>1007.265358596016</v>
      </c>
      <c r="W93" s="33">
        <v>3983.6348280534535</v>
      </c>
      <c r="X93" s="34">
        <v>4990.9001866494691</v>
      </c>
      <c r="Y93" s="35">
        <f t="shared" si="5"/>
        <v>3.9237740043910119E-2</v>
      </c>
      <c r="Z93" s="33">
        <v>1013.9521383907417</v>
      </c>
      <c r="AA93" s="33">
        <v>4114.5218460985243</v>
      </c>
      <c r="AB93" s="34">
        <f t="shared" si="6"/>
        <v>5128.4739844892656</v>
      </c>
      <c r="AC93" s="35">
        <f t="shared" si="7"/>
        <v>2.7564926705567538E-2</v>
      </c>
      <c r="AD93" s="33">
        <v>1033.7740818172629</v>
      </c>
      <c r="AE93" s="33">
        <v>4237.7432021585928</v>
      </c>
      <c r="AF93" s="34">
        <f t="shared" si="8"/>
        <v>5271.5172839758561</v>
      </c>
      <c r="AG93" s="35">
        <f t="shared" si="9"/>
        <v>2.7891981107677655E-2</v>
      </c>
    </row>
    <row r="94" spans="1:33" x14ac:dyDescent="0.3">
      <c r="A94" s="42" t="s">
        <v>236</v>
      </c>
      <c r="B94" s="42">
        <v>8184</v>
      </c>
      <c r="C94" s="43" t="s">
        <v>237</v>
      </c>
      <c r="D94" s="44">
        <v>38871.582141787119</v>
      </c>
      <c r="E94" s="44">
        <v>48512.308682070267</v>
      </c>
      <c r="F94" s="44">
        <v>87383.890823857393</v>
      </c>
      <c r="G94" s="44">
        <v>39938.237989776913</v>
      </c>
      <c r="H94" s="44">
        <v>48264.89590779171</v>
      </c>
      <c r="I94" s="44">
        <v>88203.133897568623</v>
      </c>
      <c r="J94" s="44">
        <v>40526.814355664043</v>
      </c>
      <c r="K94" s="44">
        <v>46701.113280379257</v>
      </c>
      <c r="L94" s="45">
        <v>87227.9276360433</v>
      </c>
      <c r="M94" s="44">
        <v>40862.191832075201</v>
      </c>
      <c r="N94" s="44">
        <v>46210.751590935281</v>
      </c>
      <c r="O94" s="45">
        <v>87072.943423010482</v>
      </c>
      <c r="P94" s="44">
        <v>41358.039657298985</v>
      </c>
      <c r="Q94" s="44">
        <v>43735.330362758614</v>
      </c>
      <c r="R94" s="45">
        <v>85093.370020057599</v>
      </c>
      <c r="S94" s="44">
        <v>41357.655905617641</v>
      </c>
      <c r="T94" s="44">
        <v>43406.838585983758</v>
      </c>
      <c r="U94" s="45">
        <v>84764.494491601392</v>
      </c>
      <c r="V94" s="44">
        <v>41740.07031545545</v>
      </c>
      <c r="W94" s="44">
        <v>45417.98151673461</v>
      </c>
      <c r="X94" s="45">
        <v>87158.05183219006</v>
      </c>
      <c r="Y94" s="46">
        <f t="shared" si="5"/>
        <v>2.8237735091145133E-2</v>
      </c>
      <c r="Z94" s="44">
        <v>42173.703520437208</v>
      </c>
      <c r="AA94" s="44">
        <v>46910.242836594669</v>
      </c>
      <c r="AB94" s="45">
        <f t="shared" si="6"/>
        <v>89083.946357031877</v>
      </c>
      <c r="AC94" s="46">
        <f t="shared" si="7"/>
        <v>2.2096576097752285E-2</v>
      </c>
      <c r="AD94" s="44">
        <v>42718.9905013323</v>
      </c>
      <c r="AE94" s="44">
        <v>48315.106864941816</v>
      </c>
      <c r="AF94" s="45">
        <f t="shared" si="8"/>
        <v>91034.097366274116</v>
      </c>
      <c r="AG94" s="46">
        <f t="shared" si="9"/>
        <v>2.1891160966605483E-2</v>
      </c>
    </row>
    <row r="95" spans="1:33" x14ac:dyDescent="0.3">
      <c r="A95" s="42" t="s">
        <v>238</v>
      </c>
      <c r="B95" s="42">
        <v>8187</v>
      </c>
      <c r="C95" s="43" t="s">
        <v>239</v>
      </c>
      <c r="D95" s="44">
        <v>156039.00274171476</v>
      </c>
      <c r="E95" s="44">
        <v>169862.55572271065</v>
      </c>
      <c r="F95" s="44">
        <v>325901.55846442538</v>
      </c>
      <c r="G95" s="44">
        <v>158703.13071991233</v>
      </c>
      <c r="H95" s="44">
        <v>168996.25668852482</v>
      </c>
      <c r="I95" s="44">
        <v>327699.38740843715</v>
      </c>
      <c r="J95" s="44">
        <v>160666.99141412106</v>
      </c>
      <c r="K95" s="44">
        <v>163520.77797181663</v>
      </c>
      <c r="L95" s="45">
        <v>324187.76938593772</v>
      </c>
      <c r="M95" s="44">
        <v>161324.46458631058</v>
      </c>
      <c r="N95" s="44">
        <v>161803.80980311256</v>
      </c>
      <c r="O95" s="45">
        <v>323128.27438942314</v>
      </c>
      <c r="P95" s="44">
        <v>161791.30944230314</v>
      </c>
      <c r="Q95" s="44">
        <v>153136.29040996221</v>
      </c>
      <c r="R95" s="45">
        <v>314927.59985226532</v>
      </c>
      <c r="S95" s="44">
        <v>161509.07266195412</v>
      </c>
      <c r="T95" s="44">
        <v>151986.09875236553</v>
      </c>
      <c r="U95" s="45">
        <v>313495.17141431966</v>
      </c>
      <c r="V95" s="44">
        <v>162618.74068441475</v>
      </c>
      <c r="W95" s="44">
        <v>159027.97920336251</v>
      </c>
      <c r="X95" s="45">
        <v>321646.71988777723</v>
      </c>
      <c r="Y95" s="46">
        <f t="shared" si="5"/>
        <v>2.6002150006592561E-2</v>
      </c>
      <c r="Z95" s="44">
        <v>164830.2990074222</v>
      </c>
      <c r="AA95" s="44">
        <v>164253.03091670756</v>
      </c>
      <c r="AB95" s="45">
        <f t="shared" si="6"/>
        <v>329083.32992412976</v>
      </c>
      <c r="AC95" s="46">
        <f t="shared" si="7"/>
        <v>2.3120428645898139E-2</v>
      </c>
      <c r="AD95" s="44">
        <v>167126.17465513721</v>
      </c>
      <c r="AE95" s="44">
        <v>169172.06694655013</v>
      </c>
      <c r="AF95" s="45">
        <f t="shared" si="8"/>
        <v>336298.24160168733</v>
      </c>
      <c r="AG95" s="46">
        <f t="shared" si="9"/>
        <v>2.1924269695523524E-2</v>
      </c>
    </row>
    <row r="96" spans="1:33" x14ac:dyDescent="0.3">
      <c r="A96" s="31" t="s">
        <v>240</v>
      </c>
      <c r="B96" s="31">
        <v>8193</v>
      </c>
      <c r="C96" s="32" t="s">
        <v>241</v>
      </c>
      <c r="D96" s="33">
        <v>477.5122224786831</v>
      </c>
      <c r="E96" s="33">
        <v>1825.8154072190478</v>
      </c>
      <c r="F96" s="33">
        <v>2303.327629697731</v>
      </c>
      <c r="G96" s="33">
        <v>505.76980682776468</v>
      </c>
      <c r="H96" s="33">
        <v>1816.5037486422307</v>
      </c>
      <c r="I96" s="33">
        <v>2322.2735554699952</v>
      </c>
      <c r="J96" s="33">
        <v>518.87477348241123</v>
      </c>
      <c r="K96" s="33">
        <v>1757.6490271862224</v>
      </c>
      <c r="L96" s="34">
        <v>2276.5238006686336</v>
      </c>
      <c r="M96" s="33">
        <v>524.19866618586138</v>
      </c>
      <c r="N96" s="33">
        <v>1739.193712400767</v>
      </c>
      <c r="O96" s="34">
        <v>2263.3923785866282</v>
      </c>
      <c r="P96" s="33">
        <v>541.39893492008491</v>
      </c>
      <c r="Q96" s="33">
        <v>1646.028444852235</v>
      </c>
      <c r="R96" s="34">
        <v>2187.4273797723199</v>
      </c>
      <c r="S96" s="33">
        <v>546.83027601814069</v>
      </c>
      <c r="T96" s="33">
        <v>1633.6652866461204</v>
      </c>
      <c r="U96" s="34">
        <v>2180.4955626642613</v>
      </c>
      <c r="V96" s="33">
        <v>551.85733864806662</v>
      </c>
      <c r="W96" s="33">
        <v>1709.3569172619543</v>
      </c>
      <c r="X96" s="34">
        <v>2261.2142559100212</v>
      </c>
      <c r="Y96" s="35">
        <f t="shared" si="5"/>
        <v>3.7018508373909631E-2</v>
      </c>
      <c r="Z96" s="33">
        <v>569.59681829877047</v>
      </c>
      <c r="AA96" s="33">
        <v>1765.519853708731</v>
      </c>
      <c r="AB96" s="34">
        <f t="shared" si="6"/>
        <v>2335.1166720075016</v>
      </c>
      <c r="AC96" s="35">
        <f t="shared" si="7"/>
        <v>3.2682624348544298E-2</v>
      </c>
      <c r="AD96" s="33">
        <v>576.23710363609337</v>
      </c>
      <c r="AE96" s="33">
        <v>1818.3934945988015</v>
      </c>
      <c r="AF96" s="34">
        <f t="shared" si="8"/>
        <v>2394.6305982348949</v>
      </c>
      <c r="AG96" s="35">
        <f t="shared" si="9"/>
        <v>2.5486489365102782E-2</v>
      </c>
    </row>
    <row r="97" spans="1:33" x14ac:dyDescent="0.3">
      <c r="A97" s="36" t="s">
        <v>242</v>
      </c>
      <c r="B97" s="36">
        <v>8194</v>
      </c>
      <c r="C97" s="37" t="s">
        <v>243</v>
      </c>
      <c r="D97" s="38">
        <v>2369.0783455183496</v>
      </c>
      <c r="E97" s="38">
        <v>10884.137065632438</v>
      </c>
      <c r="F97" s="38">
        <v>13253.215411150788</v>
      </c>
      <c r="G97" s="38">
        <v>2415.4638598482775</v>
      </c>
      <c r="H97" s="38">
        <v>10828.627966597713</v>
      </c>
      <c r="I97" s="38">
        <v>13244.091826445991</v>
      </c>
      <c r="J97" s="38">
        <v>2454.578917386681</v>
      </c>
      <c r="K97" s="38">
        <v>10477.780420479947</v>
      </c>
      <c r="L97" s="39">
        <v>12932.359337866628</v>
      </c>
      <c r="M97" s="38">
        <v>2479.5165841816111</v>
      </c>
      <c r="N97" s="38">
        <v>10367.763726064908</v>
      </c>
      <c r="O97" s="39">
        <v>12847.280310246519</v>
      </c>
      <c r="P97" s="38">
        <v>2506.9989108535747</v>
      </c>
      <c r="Q97" s="38">
        <v>9812.3825315886115</v>
      </c>
      <c r="R97" s="39">
        <v>12319.381442442187</v>
      </c>
      <c r="S97" s="38">
        <v>2493.7019418349655</v>
      </c>
      <c r="T97" s="38">
        <v>9738.6826887965053</v>
      </c>
      <c r="U97" s="39">
        <v>12232.38463063147</v>
      </c>
      <c r="V97" s="38">
        <v>2517.2858915765119</v>
      </c>
      <c r="W97" s="38">
        <v>10189.899213252704</v>
      </c>
      <c r="X97" s="39">
        <v>12707.185104829216</v>
      </c>
      <c r="Y97" s="40">
        <f t="shared" si="5"/>
        <v>3.88150379942096E-2</v>
      </c>
      <c r="Z97" s="38">
        <v>2554.3318232756887</v>
      </c>
      <c r="AA97" s="38">
        <v>10524.700363400838</v>
      </c>
      <c r="AB97" s="39">
        <f t="shared" si="6"/>
        <v>13079.032186676526</v>
      </c>
      <c r="AC97" s="40">
        <f t="shared" si="7"/>
        <v>2.9262742202912806E-2</v>
      </c>
      <c r="AD97" s="38">
        <v>2595.0524150307256</v>
      </c>
      <c r="AE97" s="38">
        <v>10839.893209474523</v>
      </c>
      <c r="AF97" s="39">
        <f t="shared" si="8"/>
        <v>13434.94562450525</v>
      </c>
      <c r="AG97" s="40">
        <f t="shared" si="9"/>
        <v>2.7212520983875832E-2</v>
      </c>
    </row>
    <row r="98" spans="1:33" x14ac:dyDescent="0.3">
      <c r="A98" s="42" t="s">
        <v>244</v>
      </c>
      <c r="B98" s="42">
        <v>8196</v>
      </c>
      <c r="C98" s="43" t="s">
        <v>245</v>
      </c>
      <c r="D98" s="44">
        <v>5267.9269167390912</v>
      </c>
      <c r="E98" s="44">
        <v>10190.48599184981</v>
      </c>
      <c r="F98" s="44">
        <v>15458.4129085889</v>
      </c>
      <c r="G98" s="44">
        <v>5453.8806069017282</v>
      </c>
      <c r="H98" s="44">
        <v>10138.514513291375</v>
      </c>
      <c r="I98" s="44">
        <v>15592.395120193103</v>
      </c>
      <c r="J98" s="44">
        <v>5479.2001941783374</v>
      </c>
      <c r="K98" s="44">
        <v>9810.0266430607353</v>
      </c>
      <c r="L98" s="45">
        <v>15289.226837239072</v>
      </c>
      <c r="M98" s="44">
        <v>5537.5182599547888</v>
      </c>
      <c r="N98" s="44">
        <v>9707.0213633085987</v>
      </c>
      <c r="O98" s="45">
        <v>15244.539623263387</v>
      </c>
      <c r="P98" s="44">
        <v>5667.0217227466255</v>
      </c>
      <c r="Q98" s="44">
        <v>9187.0348684381715</v>
      </c>
      <c r="R98" s="45">
        <v>14854.056591184797</v>
      </c>
      <c r="S98" s="44">
        <v>5653.8408326318049</v>
      </c>
      <c r="T98" s="44">
        <v>9118.0319506096239</v>
      </c>
      <c r="U98" s="45">
        <v>14771.87278324143</v>
      </c>
      <c r="V98" s="44">
        <v>5671.5085894869108</v>
      </c>
      <c r="W98" s="44">
        <v>9540.4922379098425</v>
      </c>
      <c r="X98" s="45">
        <v>15212.000827396754</v>
      </c>
      <c r="Y98" s="46">
        <f t="shared" si="5"/>
        <v>2.9795006402617119E-2</v>
      </c>
      <c r="Z98" s="44">
        <v>5719.7977196984502</v>
      </c>
      <c r="AA98" s="44">
        <v>9853.9563563848642</v>
      </c>
      <c r="AB98" s="45">
        <f t="shared" si="6"/>
        <v>15573.754076083314</v>
      </c>
      <c r="AC98" s="46">
        <f t="shared" si="7"/>
        <v>2.3780780239969657E-2</v>
      </c>
      <c r="AD98" s="44">
        <v>5776.2476749220477</v>
      </c>
      <c r="AE98" s="44">
        <v>10149.061817045334</v>
      </c>
      <c r="AF98" s="45">
        <f t="shared" si="8"/>
        <v>15925.309491967382</v>
      </c>
      <c r="AG98" s="46">
        <f t="shared" si="9"/>
        <v>2.2573582077037635E-2</v>
      </c>
    </row>
    <row r="99" spans="1:33" x14ac:dyDescent="0.3">
      <c r="A99" s="31" t="s">
        <v>246</v>
      </c>
      <c r="B99" s="31">
        <v>8197</v>
      </c>
      <c r="C99" s="32" t="s">
        <v>247</v>
      </c>
      <c r="D99" s="33">
        <v>1805.6001525376491</v>
      </c>
      <c r="E99" s="33">
        <v>3666.5362406457448</v>
      </c>
      <c r="F99" s="33">
        <v>5472.1363931833939</v>
      </c>
      <c r="G99" s="33">
        <v>1909.7804001637251</v>
      </c>
      <c r="H99" s="33">
        <v>3647.8369058184517</v>
      </c>
      <c r="I99" s="33">
        <v>5557.6173059821767</v>
      </c>
      <c r="J99" s="33">
        <v>1942.5990862290823</v>
      </c>
      <c r="K99" s="33">
        <v>3529.646990069934</v>
      </c>
      <c r="L99" s="34">
        <v>5472.2460762990158</v>
      </c>
      <c r="M99" s="33">
        <v>1965.877456577766</v>
      </c>
      <c r="N99" s="33">
        <v>3492.5856966741999</v>
      </c>
      <c r="O99" s="34">
        <v>5458.4631532519661</v>
      </c>
      <c r="P99" s="33">
        <v>2011.2893593891322</v>
      </c>
      <c r="Q99" s="33">
        <v>3305.4945874166428</v>
      </c>
      <c r="R99" s="34">
        <v>5316.7839468057755</v>
      </c>
      <c r="S99" s="33">
        <v>2021.5489408456265</v>
      </c>
      <c r="T99" s="33">
        <v>3280.667341774873</v>
      </c>
      <c r="U99" s="34">
        <v>5302.2162826204994</v>
      </c>
      <c r="V99" s="33">
        <v>2040.415775054119</v>
      </c>
      <c r="W99" s="33">
        <v>3432.6685274748197</v>
      </c>
      <c r="X99" s="34">
        <v>5473.0843025289387</v>
      </c>
      <c r="Y99" s="35">
        <f t="shared" si="5"/>
        <v>3.222577329946108E-2</v>
      </c>
      <c r="Z99" s="33">
        <v>2085.6651901948189</v>
      </c>
      <c r="AA99" s="33">
        <v>3545.4528982545794</v>
      </c>
      <c r="AB99" s="34">
        <f t="shared" si="6"/>
        <v>5631.1180884493988</v>
      </c>
      <c r="AC99" s="35">
        <f t="shared" si="7"/>
        <v>2.8874721671551473E-2</v>
      </c>
      <c r="AD99" s="33">
        <v>2120.1282078938857</v>
      </c>
      <c r="AE99" s="33">
        <v>3651.631825068222</v>
      </c>
      <c r="AF99" s="34">
        <f t="shared" si="8"/>
        <v>5771.7600329621073</v>
      </c>
      <c r="AG99" s="35">
        <f t="shared" si="9"/>
        <v>2.4975847123716699E-2</v>
      </c>
    </row>
    <row r="100" spans="1:33" x14ac:dyDescent="0.3">
      <c r="A100" s="31" t="s">
        <v>248</v>
      </c>
      <c r="B100" s="31">
        <v>8198</v>
      </c>
      <c r="C100" s="32" t="s">
        <v>249</v>
      </c>
      <c r="D100" s="33">
        <v>1167.7437051862253</v>
      </c>
      <c r="E100" s="33">
        <v>2852.5985338914365</v>
      </c>
      <c r="F100" s="33">
        <v>4020.3422390776618</v>
      </c>
      <c r="G100" s="33">
        <v>1276.6884224016717</v>
      </c>
      <c r="H100" s="33">
        <v>2838.0502813685903</v>
      </c>
      <c r="I100" s="33">
        <v>4114.738703770262</v>
      </c>
      <c r="J100" s="33">
        <v>1303.5055835623971</v>
      </c>
      <c r="K100" s="33">
        <v>2746.0974522522479</v>
      </c>
      <c r="L100" s="34">
        <v>4049.603035814645</v>
      </c>
      <c r="M100" s="33">
        <v>1311.8859464251238</v>
      </c>
      <c r="N100" s="33">
        <v>2717.2634290035994</v>
      </c>
      <c r="O100" s="34">
        <v>4029.149375428723</v>
      </c>
      <c r="P100" s="33">
        <v>1364.5625129908344</v>
      </c>
      <c r="Q100" s="33">
        <v>2571.7048448401883</v>
      </c>
      <c r="R100" s="34">
        <v>3936.2673578310228</v>
      </c>
      <c r="S100" s="33">
        <v>1373.8358209869373</v>
      </c>
      <c r="T100" s="33">
        <v>2552.3890219844998</v>
      </c>
      <c r="U100" s="34">
        <v>3926.2248429714373</v>
      </c>
      <c r="V100" s="33">
        <v>1388.127560369624</v>
      </c>
      <c r="W100" s="33">
        <v>2670.6473265583727</v>
      </c>
      <c r="X100" s="34">
        <v>4058.7748869279967</v>
      </c>
      <c r="Y100" s="35">
        <f t="shared" si="5"/>
        <v>3.3760176571101086E-2</v>
      </c>
      <c r="Z100" s="33">
        <v>1423.1306893879014</v>
      </c>
      <c r="AA100" s="33">
        <v>2758.3945925380885</v>
      </c>
      <c r="AB100" s="34">
        <f t="shared" si="6"/>
        <v>4181.5252819259895</v>
      </c>
      <c r="AC100" s="35">
        <f t="shared" si="7"/>
        <v>3.0243213387697976E-2</v>
      </c>
      <c r="AD100" s="33">
        <v>1454.4201794350402</v>
      </c>
      <c r="AE100" s="33">
        <v>2841.0027630509262</v>
      </c>
      <c r="AF100" s="34">
        <f t="shared" si="8"/>
        <v>4295.4229424859659</v>
      </c>
      <c r="AG100" s="35">
        <f t="shared" si="9"/>
        <v>2.7238304896129995E-2</v>
      </c>
    </row>
    <row r="101" spans="1:33" x14ac:dyDescent="0.3">
      <c r="A101" s="31" t="s">
        <v>250</v>
      </c>
      <c r="B101" s="31">
        <v>8200</v>
      </c>
      <c r="C101" s="32" t="s">
        <v>251</v>
      </c>
      <c r="D101" s="33">
        <v>30232.942250019496</v>
      </c>
      <c r="E101" s="33">
        <v>50165.24949943876</v>
      </c>
      <c r="F101" s="33">
        <v>80398.191749458259</v>
      </c>
      <c r="G101" s="33">
        <v>30220.680831596397</v>
      </c>
      <c r="H101" s="33">
        <v>49909.40672699162</v>
      </c>
      <c r="I101" s="33">
        <v>80130.087558588013</v>
      </c>
      <c r="J101" s="33">
        <v>30626.793872094768</v>
      </c>
      <c r="K101" s="33">
        <v>48292.341949037094</v>
      </c>
      <c r="L101" s="34">
        <v>78919.135821131858</v>
      </c>
      <c r="M101" s="33">
        <v>30620.4773838162</v>
      </c>
      <c r="N101" s="33">
        <v>47785.272358572205</v>
      </c>
      <c r="O101" s="34">
        <v>78405.749742388405</v>
      </c>
      <c r="P101" s="33">
        <v>30865.334194144129</v>
      </c>
      <c r="Q101" s="33">
        <v>45225.507076290654</v>
      </c>
      <c r="R101" s="34">
        <v>76090.841270434787</v>
      </c>
      <c r="S101" s="33">
        <v>30596.290828741538</v>
      </c>
      <c r="T101" s="33">
        <v>44885.822728377621</v>
      </c>
      <c r="U101" s="34">
        <v>75482.113557119155</v>
      </c>
      <c r="V101" s="33">
        <v>30675.926068044842</v>
      </c>
      <c r="W101" s="33">
        <v>46965.490541371997</v>
      </c>
      <c r="X101" s="34">
        <v>77641.416609416832</v>
      </c>
      <c r="Y101" s="35">
        <f t="shared" si="5"/>
        <v>2.8606817569617693E-2</v>
      </c>
      <c r="Z101" s="33">
        <v>31103.732889832398</v>
      </c>
      <c r="AA101" s="33">
        <v>48508.597094386023</v>
      </c>
      <c r="AB101" s="34">
        <f t="shared" si="6"/>
        <v>79612.329984218421</v>
      </c>
      <c r="AC101" s="35">
        <f t="shared" si="7"/>
        <v>2.5384819866392627E-2</v>
      </c>
      <c r="AD101" s="33">
        <v>31344.026422680578</v>
      </c>
      <c r="AE101" s="33">
        <v>49961.328502340395</v>
      </c>
      <c r="AF101" s="34">
        <f t="shared" si="8"/>
        <v>81305.354925020976</v>
      </c>
      <c r="AG101" s="35">
        <f t="shared" si="9"/>
        <v>2.1265863480420144E-2</v>
      </c>
    </row>
    <row r="102" spans="1:33" x14ac:dyDescent="0.3">
      <c r="A102" s="31" t="s">
        <v>252</v>
      </c>
      <c r="B102" s="31">
        <v>8202</v>
      </c>
      <c r="C102" s="32" t="s">
        <v>253</v>
      </c>
      <c r="D102" s="33">
        <v>5699.2826800881076</v>
      </c>
      <c r="E102" s="33">
        <v>14097.161360898377</v>
      </c>
      <c r="F102" s="33">
        <v>19796.444040986484</v>
      </c>
      <c r="G102" s="33">
        <v>6081.337013120261</v>
      </c>
      <c r="H102" s="33">
        <v>14025.265837957795</v>
      </c>
      <c r="I102" s="33">
        <v>20106.602851078056</v>
      </c>
      <c r="J102" s="33">
        <v>6181.8004365855295</v>
      </c>
      <c r="K102" s="33">
        <v>13570.847224807963</v>
      </c>
      <c r="L102" s="34">
        <v>19752.647661393494</v>
      </c>
      <c r="M102" s="33">
        <v>6198.2999039429642</v>
      </c>
      <c r="N102" s="33">
        <v>13428.35332894748</v>
      </c>
      <c r="O102" s="34">
        <v>19626.653232890443</v>
      </c>
      <c r="P102" s="33">
        <v>6260.997879901216</v>
      </c>
      <c r="Q102" s="33">
        <v>12709.022226432931</v>
      </c>
      <c r="R102" s="34">
        <v>18970.020106334148</v>
      </c>
      <c r="S102" s="33">
        <v>6263.8714558123384</v>
      </c>
      <c r="T102" s="33">
        <v>12613.566006996503</v>
      </c>
      <c r="U102" s="34">
        <v>18877.437462808841</v>
      </c>
      <c r="V102" s="33">
        <v>6317.3148035435715</v>
      </c>
      <c r="W102" s="33">
        <v>13197.982770181869</v>
      </c>
      <c r="X102" s="34">
        <v>19515.297573725438</v>
      </c>
      <c r="Y102" s="35">
        <f t="shared" si="5"/>
        <v>3.3789549676605635E-2</v>
      </c>
      <c r="Z102" s="33">
        <v>6375.7728230380353</v>
      </c>
      <c r="AA102" s="33">
        <v>13631.618051416575</v>
      </c>
      <c r="AB102" s="34">
        <f t="shared" si="6"/>
        <v>20007.39087445461</v>
      </c>
      <c r="AC102" s="35">
        <f t="shared" si="7"/>
        <v>2.5215772338091469E-2</v>
      </c>
      <c r="AD102" s="33">
        <v>6486.4419902446107</v>
      </c>
      <c r="AE102" s="33">
        <v>14039.856608511902</v>
      </c>
      <c r="AF102" s="34">
        <f t="shared" si="8"/>
        <v>20526.298598756512</v>
      </c>
      <c r="AG102" s="35">
        <f t="shared" si="9"/>
        <v>2.5935801802345004E-2</v>
      </c>
    </row>
    <row r="103" spans="1:33" x14ac:dyDescent="0.3">
      <c r="A103" s="31" t="s">
        <v>254</v>
      </c>
      <c r="B103" s="31">
        <v>8203</v>
      </c>
      <c r="C103" s="32" t="s">
        <v>255</v>
      </c>
      <c r="D103" s="33">
        <v>797.23158569656357</v>
      </c>
      <c r="E103" s="33">
        <v>1672.8900501067826</v>
      </c>
      <c r="F103" s="33">
        <v>2470.1216358033462</v>
      </c>
      <c r="G103" s="33">
        <v>890.1910640148194</v>
      </c>
      <c r="H103" s="33">
        <v>1664.358310851238</v>
      </c>
      <c r="I103" s="33">
        <v>2554.5493748660574</v>
      </c>
      <c r="J103" s="33">
        <v>918.21765300032348</v>
      </c>
      <c r="K103" s="33">
        <v>1610.4331015796579</v>
      </c>
      <c r="L103" s="34">
        <v>2528.6507545799814</v>
      </c>
      <c r="M103" s="33">
        <v>940.13944042462856</v>
      </c>
      <c r="N103" s="33">
        <v>1593.5235540130716</v>
      </c>
      <c r="O103" s="34">
        <v>2533.6629944377</v>
      </c>
      <c r="P103" s="33">
        <v>925.98740044184922</v>
      </c>
      <c r="Q103" s="33">
        <v>1508.1615571314355</v>
      </c>
      <c r="R103" s="34">
        <v>2434.1489575732849</v>
      </c>
      <c r="S103" s="33">
        <v>926.21792674375661</v>
      </c>
      <c r="T103" s="33">
        <v>1496.8339035969489</v>
      </c>
      <c r="U103" s="34">
        <v>2423.0518303407052</v>
      </c>
      <c r="V103" s="33">
        <v>935.93950895292005</v>
      </c>
      <c r="W103" s="33">
        <v>1566.1858080846271</v>
      </c>
      <c r="X103" s="34">
        <v>2502.1253170375471</v>
      </c>
      <c r="Y103" s="35">
        <f t="shared" si="5"/>
        <v>3.263384039363415E-2</v>
      </c>
      <c r="Z103" s="33">
        <v>935.06309977757678</v>
      </c>
      <c r="AA103" s="33">
        <v>1617.6446889742879</v>
      </c>
      <c r="AB103" s="34">
        <f t="shared" si="6"/>
        <v>2552.7077887518644</v>
      </c>
      <c r="AC103" s="35">
        <f t="shared" si="7"/>
        <v>2.0215802689773188E-2</v>
      </c>
      <c r="AD103" s="33">
        <v>947.88841471538331</v>
      </c>
      <c r="AE103" s="33">
        <v>1666.0897768009054</v>
      </c>
      <c r="AF103" s="34">
        <f t="shared" si="8"/>
        <v>2613.9781915162885</v>
      </c>
      <c r="AG103" s="35">
        <f t="shared" si="9"/>
        <v>2.400212160373516E-2</v>
      </c>
    </row>
    <row r="104" spans="1:33" x14ac:dyDescent="0.3">
      <c r="A104" s="31" t="s">
        <v>256</v>
      </c>
      <c r="B104" s="31">
        <v>8204</v>
      </c>
      <c r="C104" s="32" t="s">
        <v>257</v>
      </c>
      <c r="D104" s="33">
        <v>313.27826323542257</v>
      </c>
      <c r="E104" s="33">
        <v>1445.9866323679155</v>
      </c>
      <c r="F104" s="33">
        <v>1759.2648956033381</v>
      </c>
      <c r="G104" s="33">
        <v>327.53438442929843</v>
      </c>
      <c r="H104" s="33">
        <v>1438.6121005428392</v>
      </c>
      <c r="I104" s="33">
        <v>1766.1464849721376</v>
      </c>
      <c r="J104" s="33">
        <v>336.71176244785602</v>
      </c>
      <c r="K104" s="33">
        <v>1392.0010684852514</v>
      </c>
      <c r="L104" s="34">
        <v>1728.7128309331074</v>
      </c>
      <c r="M104" s="33">
        <v>340.27579274632495</v>
      </c>
      <c r="N104" s="33">
        <v>1377.3850572661563</v>
      </c>
      <c r="O104" s="34">
        <v>1717.6608500124812</v>
      </c>
      <c r="P104" s="33">
        <v>347.4929541007246</v>
      </c>
      <c r="Q104" s="33">
        <v>1303.6011846230028</v>
      </c>
      <c r="R104" s="34">
        <v>1651.0941387237274</v>
      </c>
      <c r="S104" s="33">
        <v>349.75147866764405</v>
      </c>
      <c r="T104" s="33">
        <v>1293.8099639830587</v>
      </c>
      <c r="U104" s="34">
        <v>1643.5614426507027</v>
      </c>
      <c r="V104" s="33">
        <v>353.42369750291772</v>
      </c>
      <c r="W104" s="33">
        <v>1353.7552824527561</v>
      </c>
      <c r="X104" s="34">
        <v>1707.1789799556739</v>
      </c>
      <c r="Y104" s="35">
        <f t="shared" si="5"/>
        <v>3.8707124451867303E-2</v>
      </c>
      <c r="Z104" s="33">
        <v>358.42138259526519</v>
      </c>
      <c r="AA104" s="33">
        <v>1398.2345080171096</v>
      </c>
      <c r="AB104" s="34">
        <f t="shared" si="6"/>
        <v>1756.6558906123748</v>
      </c>
      <c r="AC104" s="35">
        <f t="shared" si="7"/>
        <v>2.8981677514554161E-2</v>
      </c>
      <c r="AD104" s="33">
        <v>363.20655975389286</v>
      </c>
      <c r="AE104" s="33">
        <v>1440.1087180984639</v>
      </c>
      <c r="AF104" s="34">
        <f t="shared" si="8"/>
        <v>1803.3152778523568</v>
      </c>
      <c r="AG104" s="35">
        <f t="shared" si="9"/>
        <v>2.6561483947613818E-2</v>
      </c>
    </row>
    <row r="105" spans="1:33" x14ac:dyDescent="0.3">
      <c r="A105" s="42" t="s">
        <v>258</v>
      </c>
      <c r="B105" s="42">
        <v>8205</v>
      </c>
      <c r="C105" s="43" t="s">
        <v>259</v>
      </c>
      <c r="D105" s="44">
        <v>44154.738698849571</v>
      </c>
      <c r="E105" s="44">
        <v>96958.020509928174</v>
      </c>
      <c r="F105" s="44">
        <v>141112.75920877774</v>
      </c>
      <c r="G105" s="44">
        <v>45651.022575921765</v>
      </c>
      <c r="H105" s="44">
        <v>96463.534605327543</v>
      </c>
      <c r="I105" s="44">
        <v>142114.55718124931</v>
      </c>
      <c r="J105" s="44">
        <v>47433.994443840995</v>
      </c>
      <c r="K105" s="44">
        <v>93338.116084114925</v>
      </c>
      <c r="L105" s="45">
        <v>140772.11052795593</v>
      </c>
      <c r="M105" s="44">
        <v>48925.490212506556</v>
      </c>
      <c r="N105" s="44">
        <v>92358.065865231722</v>
      </c>
      <c r="O105" s="45">
        <v>141283.55607773829</v>
      </c>
      <c r="P105" s="44">
        <v>50841.332088709787</v>
      </c>
      <c r="Q105" s="44">
        <v>87410.621624117484</v>
      </c>
      <c r="R105" s="45">
        <v>138251.95371282726</v>
      </c>
      <c r="S105" s="44">
        <v>51559.91508839788</v>
      </c>
      <c r="T105" s="44">
        <v>86754.089018369719</v>
      </c>
      <c r="U105" s="45">
        <v>138314.00410676759</v>
      </c>
      <c r="V105" s="44">
        <v>52184.312575808523</v>
      </c>
      <c r="W105" s="44">
        <v>90773.614017809858</v>
      </c>
      <c r="X105" s="45">
        <v>142957.92659361838</v>
      </c>
      <c r="Y105" s="46">
        <f t="shared" si="5"/>
        <v>3.357521544431652E-2</v>
      </c>
      <c r="Z105" s="44">
        <v>52898.804306672362</v>
      </c>
      <c r="AA105" s="44">
        <v>93756.088107125659</v>
      </c>
      <c r="AB105" s="45">
        <f t="shared" si="6"/>
        <v>146654.89241379802</v>
      </c>
      <c r="AC105" s="46">
        <f t="shared" si="7"/>
        <v>2.5860516504893738E-2</v>
      </c>
      <c r="AD105" s="44">
        <v>53605.432228963298</v>
      </c>
      <c r="AE105" s="44">
        <v>96563.887590898448</v>
      </c>
      <c r="AF105" s="45">
        <f t="shared" si="8"/>
        <v>150169.31981986173</v>
      </c>
      <c r="AG105" s="46">
        <f t="shared" si="9"/>
        <v>2.3963928841510995E-2</v>
      </c>
    </row>
    <row r="106" spans="1:33" x14ac:dyDescent="0.3">
      <c r="A106" s="31" t="s">
        <v>260</v>
      </c>
      <c r="B106" s="31">
        <v>8206</v>
      </c>
      <c r="C106" s="32" t="s">
        <v>261</v>
      </c>
      <c r="D106" s="33">
        <v>18.700436835097975</v>
      </c>
      <c r="E106" s="33">
        <v>462.1696435782618</v>
      </c>
      <c r="F106" s="33">
        <v>480.8700804133598</v>
      </c>
      <c r="G106" s="33">
        <v>19.393823818871269</v>
      </c>
      <c r="H106" s="33">
        <v>459.81257839601267</v>
      </c>
      <c r="I106" s="33">
        <v>479.20640221488395</v>
      </c>
      <c r="J106" s="33">
        <v>19.582929359900348</v>
      </c>
      <c r="K106" s="33">
        <v>444.91465085598185</v>
      </c>
      <c r="L106" s="34">
        <v>464.49758021588218</v>
      </c>
      <c r="M106" s="33">
        <v>20.444410157921716</v>
      </c>
      <c r="N106" s="33">
        <v>440.24304702199407</v>
      </c>
      <c r="O106" s="34">
        <v>460.68745717991578</v>
      </c>
      <c r="P106" s="33">
        <v>20.717562606074836</v>
      </c>
      <c r="Q106" s="33">
        <v>416.66007235405567</v>
      </c>
      <c r="R106" s="34">
        <v>437.37763496013054</v>
      </c>
      <c r="S106" s="33">
        <v>20.53044567569048</v>
      </c>
      <c r="T106" s="33">
        <v>413.53057941680163</v>
      </c>
      <c r="U106" s="34">
        <v>434.06102509249212</v>
      </c>
      <c r="V106" s="33">
        <v>20.631419945585911</v>
      </c>
      <c r="W106" s="33">
        <v>432.69044289766691</v>
      </c>
      <c r="X106" s="34">
        <v>453.3218628432528</v>
      </c>
      <c r="Y106" s="35">
        <f t="shared" si="5"/>
        <v>4.4373571081753882E-2</v>
      </c>
      <c r="Z106" s="33">
        <v>20.959617335735896</v>
      </c>
      <c r="AA106" s="33">
        <v>446.90699743942696</v>
      </c>
      <c r="AB106" s="34">
        <f t="shared" si="6"/>
        <v>467.86661477516287</v>
      </c>
      <c r="AC106" s="35">
        <f t="shared" si="7"/>
        <v>3.2084823442409816E-2</v>
      </c>
      <c r="AD106" s="33">
        <v>21.081673564504808</v>
      </c>
      <c r="AE106" s="33">
        <v>460.29093081419728</v>
      </c>
      <c r="AF106" s="34">
        <f t="shared" si="8"/>
        <v>481.37260437870208</v>
      </c>
      <c r="AG106" s="35">
        <f t="shared" si="9"/>
        <v>2.8867179612782623E-2</v>
      </c>
    </row>
    <row r="107" spans="1:33" x14ac:dyDescent="0.3">
      <c r="A107" s="31" t="s">
        <v>262</v>
      </c>
      <c r="B107" s="31">
        <v>8207</v>
      </c>
      <c r="C107" s="32" t="s">
        <v>263</v>
      </c>
      <c r="D107" s="33">
        <v>398.889466250966</v>
      </c>
      <c r="E107" s="33">
        <v>1347.6124610738898</v>
      </c>
      <c r="F107" s="33">
        <v>1746.5019273248558</v>
      </c>
      <c r="G107" s="33">
        <v>453.57128341379683</v>
      </c>
      <c r="H107" s="33">
        <v>1340.739637522413</v>
      </c>
      <c r="I107" s="33">
        <v>1794.3109209362099</v>
      </c>
      <c r="J107" s="33">
        <v>471.60668977627438</v>
      </c>
      <c r="K107" s="33">
        <v>1297.2996732666868</v>
      </c>
      <c r="L107" s="34">
        <v>1768.9063630429612</v>
      </c>
      <c r="M107" s="33">
        <v>479.66506283184941</v>
      </c>
      <c r="N107" s="33">
        <v>1283.6780266973867</v>
      </c>
      <c r="O107" s="34">
        <v>1763.3430895292361</v>
      </c>
      <c r="P107" s="33">
        <v>490.21769421415013</v>
      </c>
      <c r="Q107" s="33">
        <v>1214.9138597442145</v>
      </c>
      <c r="R107" s="34">
        <v>1705.1315539583647</v>
      </c>
      <c r="S107" s="33">
        <v>496.0996766090484</v>
      </c>
      <c r="T107" s="33">
        <v>1205.7887609029442</v>
      </c>
      <c r="U107" s="34">
        <v>1701.8884375119926</v>
      </c>
      <c r="V107" s="33">
        <v>503.11920141076848</v>
      </c>
      <c r="W107" s="33">
        <v>1261.655845939905</v>
      </c>
      <c r="X107" s="34">
        <v>1764.7750473506735</v>
      </c>
      <c r="Y107" s="35">
        <f t="shared" si="5"/>
        <v>3.6951076493953572E-2</v>
      </c>
      <c r="Z107" s="33">
        <v>516.50640780731578</v>
      </c>
      <c r="AA107" s="33">
        <v>1303.1090359540351</v>
      </c>
      <c r="AB107" s="34">
        <f t="shared" si="6"/>
        <v>1819.6154437613509</v>
      </c>
      <c r="AC107" s="35">
        <f t="shared" si="7"/>
        <v>3.1075006694482266E-2</v>
      </c>
      <c r="AD107" s="33">
        <v>527.60325822797256</v>
      </c>
      <c r="AE107" s="33">
        <v>1342.1344363554551</v>
      </c>
      <c r="AF107" s="34">
        <f t="shared" si="8"/>
        <v>1869.7376945834276</v>
      </c>
      <c r="AG107" s="35">
        <f t="shared" si="9"/>
        <v>2.7545518474204833E-2</v>
      </c>
    </row>
    <row r="108" spans="1:33" x14ac:dyDescent="0.3">
      <c r="A108" s="31" t="s">
        <v>264</v>
      </c>
      <c r="B108" s="31">
        <v>8208</v>
      </c>
      <c r="C108" s="32" t="s">
        <v>265</v>
      </c>
      <c r="D108" s="33">
        <v>1359.2854944782241</v>
      </c>
      <c r="E108" s="33">
        <v>4423.3766014543235</v>
      </c>
      <c r="F108" s="33">
        <v>5782.6620959325473</v>
      </c>
      <c r="G108" s="33">
        <v>1423.8463988441854</v>
      </c>
      <c r="H108" s="33">
        <v>4400.8173807869061</v>
      </c>
      <c r="I108" s="33">
        <v>5824.6637796310915</v>
      </c>
      <c r="J108" s="33">
        <v>1485.5195950276436</v>
      </c>
      <c r="K108" s="33">
        <v>4258.2308976494105</v>
      </c>
      <c r="L108" s="34">
        <v>5743.7504926770544</v>
      </c>
      <c r="M108" s="33">
        <v>1511.71523354035</v>
      </c>
      <c r="N108" s="33">
        <v>4213.5194732240916</v>
      </c>
      <c r="O108" s="34">
        <v>5725.2347067644414</v>
      </c>
      <c r="P108" s="33">
        <v>1549.0491750427111</v>
      </c>
      <c r="Q108" s="33">
        <v>3987.8093259041621</v>
      </c>
      <c r="R108" s="34">
        <v>5536.8585009468734</v>
      </c>
      <c r="S108" s="33">
        <v>1559.811857220473</v>
      </c>
      <c r="T108" s="33">
        <v>3957.8572811833324</v>
      </c>
      <c r="U108" s="34">
        <v>5517.6691384038058</v>
      </c>
      <c r="V108" s="33">
        <v>1592.487106974103</v>
      </c>
      <c r="W108" s="33">
        <v>4141.2343008251846</v>
      </c>
      <c r="X108" s="34">
        <v>5733.7214077992876</v>
      </c>
      <c r="Y108" s="35">
        <f t="shared" si="5"/>
        <v>3.9156437976993752E-2</v>
      </c>
      <c r="Z108" s="33">
        <v>1606.6091954453348</v>
      </c>
      <c r="AA108" s="33">
        <v>4277.299435320916</v>
      </c>
      <c r="AB108" s="34">
        <f t="shared" si="6"/>
        <v>5883.908630766251</v>
      </c>
      <c r="AC108" s="35">
        <f t="shared" si="7"/>
        <v>2.6193672884537333E-2</v>
      </c>
      <c r="AD108" s="33">
        <v>1649.9712480791115</v>
      </c>
      <c r="AE108" s="33">
        <v>4405.3956410063893</v>
      </c>
      <c r="AF108" s="34">
        <f t="shared" si="8"/>
        <v>6055.3668890855006</v>
      </c>
      <c r="AG108" s="35">
        <f t="shared" si="9"/>
        <v>2.9140197287006675E-2</v>
      </c>
    </row>
    <row r="109" spans="1:33" x14ac:dyDescent="0.3">
      <c r="A109" s="42" t="s">
        <v>266</v>
      </c>
      <c r="B109" s="42">
        <v>8209</v>
      </c>
      <c r="C109" s="43" t="s">
        <v>267</v>
      </c>
      <c r="D109" s="44">
        <v>902.57298749770291</v>
      </c>
      <c r="E109" s="44">
        <v>3247.1053832874386</v>
      </c>
      <c r="F109" s="44">
        <v>4149.6783707851419</v>
      </c>
      <c r="G109" s="44">
        <v>967.13820323178072</v>
      </c>
      <c r="H109" s="44">
        <v>3230.5451458326725</v>
      </c>
      <c r="I109" s="44">
        <v>4197.6833490644531</v>
      </c>
      <c r="J109" s="44">
        <v>1003.0754459516919</v>
      </c>
      <c r="K109" s="44">
        <v>3125.875483107694</v>
      </c>
      <c r="L109" s="45">
        <v>4128.950929059386</v>
      </c>
      <c r="M109" s="44">
        <v>1010.1410733339118</v>
      </c>
      <c r="N109" s="44">
        <v>3093.0537905350634</v>
      </c>
      <c r="O109" s="45">
        <v>4103.1948638689755</v>
      </c>
      <c r="P109" s="44">
        <v>1028.2924264365111</v>
      </c>
      <c r="Q109" s="44">
        <v>2927.3648383024683</v>
      </c>
      <c r="R109" s="45">
        <v>3955.6572647389794</v>
      </c>
      <c r="S109" s="44">
        <v>1031.6396036895537</v>
      </c>
      <c r="T109" s="44">
        <v>2905.3776881191679</v>
      </c>
      <c r="U109" s="45">
        <v>3937.0172918087219</v>
      </c>
      <c r="V109" s="44">
        <v>1038.8944466322969</v>
      </c>
      <c r="W109" s="44">
        <v>3039.990804138838</v>
      </c>
      <c r="X109" s="45">
        <v>4078.8852507711349</v>
      </c>
      <c r="Y109" s="46">
        <f t="shared" si="5"/>
        <v>3.6034375377923977E-2</v>
      </c>
      <c r="Z109" s="44">
        <v>1050.9016727464223</v>
      </c>
      <c r="AA109" s="44">
        <v>3139.8732854436307</v>
      </c>
      <c r="AB109" s="45">
        <f t="shared" si="6"/>
        <v>4190.7749581900534</v>
      </c>
      <c r="AC109" s="46">
        <f t="shared" si="7"/>
        <v>2.7431442793779404E-2</v>
      </c>
      <c r="AD109" s="44">
        <v>1063.4208509118578</v>
      </c>
      <c r="AE109" s="44">
        <v>3233.9059479402495</v>
      </c>
      <c r="AF109" s="45">
        <f t="shared" si="8"/>
        <v>4297.3267988521075</v>
      </c>
      <c r="AG109" s="46">
        <f t="shared" si="9"/>
        <v>2.5425331048573474E-2</v>
      </c>
    </row>
    <row r="110" spans="1:33" x14ac:dyDescent="0.3">
      <c r="A110" s="31" t="s">
        <v>268</v>
      </c>
      <c r="B110" s="31">
        <v>8210</v>
      </c>
      <c r="C110" s="32" t="s">
        <v>269</v>
      </c>
      <c r="D110" s="33">
        <v>998.44547833921115</v>
      </c>
      <c r="E110" s="33">
        <v>1727.2696825032835</v>
      </c>
      <c r="F110" s="33">
        <v>2725.7151608424947</v>
      </c>
      <c r="G110" s="33">
        <v>1036.8188448385747</v>
      </c>
      <c r="H110" s="33">
        <v>1718.4606071225169</v>
      </c>
      <c r="I110" s="33">
        <v>2755.2794519610916</v>
      </c>
      <c r="J110" s="33">
        <v>1051.9468066315931</v>
      </c>
      <c r="K110" s="33">
        <v>1662.7824834517473</v>
      </c>
      <c r="L110" s="34">
        <v>2714.7292900833404</v>
      </c>
      <c r="M110" s="33">
        <v>1076.6681100494523</v>
      </c>
      <c r="N110" s="33">
        <v>1645.323267375504</v>
      </c>
      <c r="O110" s="34">
        <v>2721.9913774249562</v>
      </c>
      <c r="P110" s="33">
        <v>1126.2952042241102</v>
      </c>
      <c r="Q110" s="33">
        <v>1557.1864593155967</v>
      </c>
      <c r="R110" s="34">
        <v>2683.4816635397069</v>
      </c>
      <c r="S110" s="33">
        <v>1142.7814514197378</v>
      </c>
      <c r="T110" s="33">
        <v>1545.490584549188</v>
      </c>
      <c r="U110" s="34">
        <v>2688.2720359689256</v>
      </c>
      <c r="V110" s="33">
        <v>1147.8704122433137</v>
      </c>
      <c r="W110" s="33">
        <v>1617.0968697547121</v>
      </c>
      <c r="X110" s="34">
        <v>2764.967281998026</v>
      </c>
      <c r="Y110" s="35">
        <f t="shared" si="5"/>
        <v>2.8529570297545215E-2</v>
      </c>
      <c r="Z110" s="33">
        <v>1169.1734454622424</v>
      </c>
      <c r="AA110" s="33">
        <v>1670.2284935877219</v>
      </c>
      <c r="AB110" s="34">
        <f t="shared" si="6"/>
        <v>2839.4019390499643</v>
      </c>
      <c r="AC110" s="35">
        <f t="shared" si="7"/>
        <v>2.6920628513965594E-2</v>
      </c>
      <c r="AD110" s="33">
        <v>1193.1356202981308</v>
      </c>
      <c r="AE110" s="33">
        <v>1720.248356796176</v>
      </c>
      <c r="AF110" s="34">
        <f t="shared" si="8"/>
        <v>2913.3839770943068</v>
      </c>
      <c r="AG110" s="35">
        <f t="shared" si="9"/>
        <v>2.6055500289295486E-2</v>
      </c>
    </row>
    <row r="111" spans="1:33" x14ac:dyDescent="0.3">
      <c r="A111" s="36" t="s">
        <v>270</v>
      </c>
      <c r="B111" s="36">
        <v>8211</v>
      </c>
      <c r="C111" s="37" t="s">
        <v>271</v>
      </c>
      <c r="D111" s="38">
        <v>7939.2813196406223</v>
      </c>
      <c r="E111" s="38">
        <v>16408.304137037849</v>
      </c>
      <c r="F111" s="38">
        <v>24347.585456678469</v>
      </c>
      <c r="G111" s="38">
        <v>7965.8166006129177</v>
      </c>
      <c r="H111" s="38">
        <v>16324.621785938956</v>
      </c>
      <c r="I111" s="38">
        <v>24290.438386551876</v>
      </c>
      <c r="J111" s="38">
        <v>8020.1952397885389</v>
      </c>
      <c r="K111" s="38">
        <v>15795.704040074534</v>
      </c>
      <c r="L111" s="39">
        <v>23815.899279863072</v>
      </c>
      <c r="M111" s="38">
        <v>8056.2607977297585</v>
      </c>
      <c r="N111" s="38">
        <v>15629.849147653751</v>
      </c>
      <c r="O111" s="39">
        <v>23686.109945383509</v>
      </c>
      <c r="P111" s="38">
        <v>8160.720108036191</v>
      </c>
      <c r="Q111" s="38">
        <v>14792.588141475038</v>
      </c>
      <c r="R111" s="39">
        <v>22953.308249511228</v>
      </c>
      <c r="S111" s="38">
        <v>8167.920629920055</v>
      </c>
      <c r="T111" s="38">
        <v>14681.482462807762</v>
      </c>
      <c r="U111" s="39">
        <v>22849.403092727818</v>
      </c>
      <c r="V111" s="38">
        <v>8219.5609151693789</v>
      </c>
      <c r="W111" s="38">
        <v>15361.71075470536</v>
      </c>
      <c r="X111" s="39">
        <v>23581.271669874739</v>
      </c>
      <c r="Y111" s="40">
        <f t="shared" si="5"/>
        <v>3.2030096111344442E-2</v>
      </c>
      <c r="Z111" s="38">
        <v>8320.1365177938478</v>
      </c>
      <c r="AA111" s="38">
        <v>15866.43786939844</v>
      </c>
      <c r="AB111" s="39">
        <f t="shared" si="6"/>
        <v>24186.57438719229</v>
      </c>
      <c r="AC111" s="40">
        <f t="shared" si="7"/>
        <v>2.5668790292205923E-2</v>
      </c>
      <c r="AD111" s="38">
        <v>8399.2406095357928</v>
      </c>
      <c r="AE111" s="38">
        <v>16341.604623456131</v>
      </c>
      <c r="AF111" s="39">
        <f t="shared" si="8"/>
        <v>24740.845232991924</v>
      </c>
      <c r="AG111" s="40">
        <f t="shared" si="9"/>
        <v>2.2916467496659765E-2</v>
      </c>
    </row>
    <row r="112" spans="1:33" x14ac:dyDescent="0.3">
      <c r="A112" s="31" t="s">
        <v>272</v>
      </c>
      <c r="B112" s="31">
        <v>8214</v>
      </c>
      <c r="C112" s="32" t="s">
        <v>273</v>
      </c>
      <c r="D112" s="33">
        <v>691.01471218294978</v>
      </c>
      <c r="E112" s="33">
        <v>2122.7107094049325</v>
      </c>
      <c r="F112" s="33">
        <v>2813.725421587882</v>
      </c>
      <c r="G112" s="33">
        <v>714.81135513909419</v>
      </c>
      <c r="H112" s="33">
        <v>2111.8848847869672</v>
      </c>
      <c r="I112" s="33">
        <v>2826.6962399260615</v>
      </c>
      <c r="J112" s="33">
        <v>719.04002688391427</v>
      </c>
      <c r="K112" s="33">
        <v>2043.4598145198695</v>
      </c>
      <c r="L112" s="34">
        <v>2762.4998414037836</v>
      </c>
      <c r="M112" s="33">
        <v>725.17574667051599</v>
      </c>
      <c r="N112" s="33">
        <v>2022.003486467411</v>
      </c>
      <c r="O112" s="34">
        <v>2747.179233137927</v>
      </c>
      <c r="P112" s="33">
        <v>735.0426474084295</v>
      </c>
      <c r="Q112" s="33">
        <v>1913.6886423775238</v>
      </c>
      <c r="R112" s="34">
        <v>2648.7312897859533</v>
      </c>
      <c r="S112" s="33">
        <v>738.60527300856677</v>
      </c>
      <c r="T112" s="33">
        <v>1899.315114680023</v>
      </c>
      <c r="U112" s="34">
        <v>2637.9203876885899</v>
      </c>
      <c r="V112" s="33">
        <v>742.05743742836489</v>
      </c>
      <c r="W112" s="33">
        <v>1987.3149389148707</v>
      </c>
      <c r="X112" s="34">
        <v>2729.3723763432354</v>
      </c>
      <c r="Y112" s="35">
        <f t="shared" si="5"/>
        <v>3.4668214052804736E-2</v>
      </c>
      <c r="Z112" s="33">
        <v>747.63988946412235</v>
      </c>
      <c r="AA112" s="33">
        <v>2052.6105138102462</v>
      </c>
      <c r="AB112" s="34">
        <f t="shared" si="6"/>
        <v>2800.2504032743686</v>
      </c>
      <c r="AC112" s="35">
        <f t="shared" si="7"/>
        <v>2.5968617380855319E-2</v>
      </c>
      <c r="AD112" s="33">
        <v>755.32979664047116</v>
      </c>
      <c r="AE112" s="33">
        <v>2114.0819217734052</v>
      </c>
      <c r="AF112" s="34">
        <f t="shared" si="8"/>
        <v>2869.4117184138763</v>
      </c>
      <c r="AG112" s="35">
        <f t="shared" si="9"/>
        <v>2.4698260933606608E-2</v>
      </c>
    </row>
    <row r="113" spans="1:33" x14ac:dyDescent="0.3">
      <c r="A113" s="36" t="s">
        <v>274</v>
      </c>
      <c r="B113" s="36">
        <v>8217</v>
      </c>
      <c r="C113" s="37" t="s">
        <v>275</v>
      </c>
      <c r="D113" s="38">
        <v>7832.6172912066158</v>
      </c>
      <c r="E113" s="38">
        <v>21766.754916191472</v>
      </c>
      <c r="F113" s="38">
        <v>29599.37220739809</v>
      </c>
      <c r="G113" s="38">
        <v>7872.9185140484606</v>
      </c>
      <c r="H113" s="38">
        <v>21655.744466118897</v>
      </c>
      <c r="I113" s="38">
        <v>29528.662980167355</v>
      </c>
      <c r="J113" s="38">
        <v>7968.1985655819572</v>
      </c>
      <c r="K113" s="38">
        <v>20954.098345416645</v>
      </c>
      <c r="L113" s="39">
        <v>28922.296910998601</v>
      </c>
      <c r="M113" s="38">
        <v>8044.8206435775628</v>
      </c>
      <c r="N113" s="38">
        <v>20734.080312789771</v>
      </c>
      <c r="O113" s="39">
        <v>28778.900956367332</v>
      </c>
      <c r="P113" s="38">
        <v>8157.7635767269303</v>
      </c>
      <c r="Q113" s="38">
        <v>19623.395444312806</v>
      </c>
      <c r="R113" s="39">
        <v>27781.159021039737</v>
      </c>
      <c r="S113" s="38">
        <v>8238.4178772100222</v>
      </c>
      <c r="T113" s="38">
        <v>19476.00604580155</v>
      </c>
      <c r="U113" s="39">
        <v>27714.423923011571</v>
      </c>
      <c r="V113" s="38">
        <v>8293.6144642269646</v>
      </c>
      <c r="W113" s="38">
        <v>20378.376113612074</v>
      </c>
      <c r="X113" s="39">
        <v>28671.990577839038</v>
      </c>
      <c r="Y113" s="40">
        <f t="shared" si="5"/>
        <v>3.4551201839428725E-2</v>
      </c>
      <c r="Z113" s="38">
        <v>8385.9385449505789</v>
      </c>
      <c r="AA113" s="38">
        <v>21047.931682141661</v>
      </c>
      <c r="AB113" s="39">
        <f t="shared" si="6"/>
        <v>29433.87022709224</v>
      </c>
      <c r="AC113" s="40">
        <f t="shared" si="7"/>
        <v>2.6572262124069823E-2</v>
      </c>
      <c r="AD113" s="38">
        <v>8459.274834072512</v>
      </c>
      <c r="AE113" s="38">
        <v>21678.27337946244</v>
      </c>
      <c r="AF113" s="39">
        <f t="shared" si="8"/>
        <v>30137.548213534952</v>
      </c>
      <c r="AG113" s="40">
        <f t="shared" si="9"/>
        <v>2.3907083268819074E-2</v>
      </c>
    </row>
    <row r="114" spans="1:33" x14ac:dyDescent="0.3">
      <c r="A114" s="31" t="s">
        <v>276</v>
      </c>
      <c r="B114" s="31">
        <v>8219</v>
      </c>
      <c r="C114" s="32" t="s">
        <v>277</v>
      </c>
      <c r="D114" s="33">
        <v>1681.7354781321305</v>
      </c>
      <c r="E114" s="33">
        <v>5726.8175636263559</v>
      </c>
      <c r="F114" s="33">
        <v>7408.5530417584869</v>
      </c>
      <c r="G114" s="33">
        <v>1685.1782204368469</v>
      </c>
      <c r="H114" s="33">
        <v>5697.6107940518614</v>
      </c>
      <c r="I114" s="33">
        <v>7382.7890144887078</v>
      </c>
      <c r="J114" s="33">
        <v>1719.7821943714328</v>
      </c>
      <c r="K114" s="33">
        <v>5513.0082043245811</v>
      </c>
      <c r="L114" s="34">
        <v>7232.7903986960137</v>
      </c>
      <c r="M114" s="33">
        <v>1727.9035351928153</v>
      </c>
      <c r="N114" s="33">
        <v>5455.1216181791733</v>
      </c>
      <c r="O114" s="34">
        <v>7183.0251533719884</v>
      </c>
      <c r="P114" s="33">
        <v>1758.2702878292887</v>
      </c>
      <c r="Q114" s="33">
        <v>5162.9012280962934</v>
      </c>
      <c r="R114" s="34">
        <v>6921.1715159255818</v>
      </c>
      <c r="S114" s="33">
        <v>1762.891604819431</v>
      </c>
      <c r="T114" s="33">
        <v>5124.1231833516122</v>
      </c>
      <c r="U114" s="34">
        <v>6887.0147881710436</v>
      </c>
      <c r="V114" s="33">
        <v>1774.9520800516182</v>
      </c>
      <c r="W114" s="33">
        <v>5361.5360992008164</v>
      </c>
      <c r="X114" s="34">
        <v>7136.4881792524347</v>
      </c>
      <c r="Y114" s="35">
        <f t="shared" si="5"/>
        <v>3.6223733904257038E-2</v>
      </c>
      <c r="Z114" s="33">
        <v>1788.4368930765111</v>
      </c>
      <c r="AA114" s="33">
        <v>5537.6956877312496</v>
      </c>
      <c r="AB114" s="34">
        <f t="shared" si="6"/>
        <v>7326.1325808077609</v>
      </c>
      <c r="AC114" s="35">
        <f t="shared" si="7"/>
        <v>2.6573910975803194E-2</v>
      </c>
      <c r="AD114" s="33">
        <v>1805.502132860544</v>
      </c>
      <c r="AE114" s="33">
        <v>5703.5381349495738</v>
      </c>
      <c r="AF114" s="34">
        <f t="shared" si="8"/>
        <v>7509.0402678101182</v>
      </c>
      <c r="AG114" s="35">
        <f t="shared" si="9"/>
        <v>2.4966472417045749E-2</v>
      </c>
    </row>
    <row r="115" spans="1:33" x14ac:dyDescent="0.3">
      <c r="A115" s="36" t="s">
        <v>278</v>
      </c>
      <c r="B115" s="36">
        <v>8221</v>
      </c>
      <c r="C115" s="37" t="s">
        <v>279</v>
      </c>
      <c r="D115" s="38">
        <v>2253.2646820185873</v>
      </c>
      <c r="E115" s="38">
        <v>9624.0788837515283</v>
      </c>
      <c r="F115" s="38">
        <v>11877.343565770116</v>
      </c>
      <c r="G115" s="38">
        <v>2258.8511671700653</v>
      </c>
      <c r="H115" s="38">
        <v>9574.9960814443948</v>
      </c>
      <c r="I115" s="38">
        <v>11833.84724861446</v>
      </c>
      <c r="J115" s="38">
        <v>2324.4188613163619</v>
      </c>
      <c r="K115" s="38">
        <v>9264.7662084055974</v>
      </c>
      <c r="L115" s="39">
        <v>11589.18506972196</v>
      </c>
      <c r="M115" s="38">
        <v>2340.8842912365085</v>
      </c>
      <c r="N115" s="38">
        <v>9167.4861632173397</v>
      </c>
      <c r="O115" s="39">
        <v>11508.370454453849</v>
      </c>
      <c r="P115" s="38">
        <v>2333.6806656464446</v>
      </c>
      <c r="Q115" s="38">
        <v>8676.4015329925496</v>
      </c>
      <c r="R115" s="39">
        <v>11010.082198638995</v>
      </c>
      <c r="S115" s="38">
        <v>2356.345407681235</v>
      </c>
      <c r="T115" s="38">
        <v>8611.2339320633982</v>
      </c>
      <c r="U115" s="39">
        <v>10967.579339744632</v>
      </c>
      <c r="V115" s="38">
        <v>2385.2058187590783</v>
      </c>
      <c r="W115" s="38">
        <v>9010.2130517522328</v>
      </c>
      <c r="X115" s="39">
        <v>11395.418870511312</v>
      </c>
      <c r="Y115" s="40">
        <f t="shared" si="5"/>
        <v>3.9009476705243573E-2</v>
      </c>
      <c r="Z115" s="38">
        <v>2413.6769755690334</v>
      </c>
      <c r="AA115" s="38">
        <v>9306.2542224914923</v>
      </c>
      <c r="AB115" s="39">
        <f t="shared" si="6"/>
        <v>11719.931198060525</v>
      </c>
      <c r="AC115" s="40">
        <f t="shared" si="7"/>
        <v>2.8477437401531303E-2</v>
      </c>
      <c r="AD115" s="38">
        <v>2449.6437768202759</v>
      </c>
      <c r="AE115" s="38">
        <v>9584.9571454623583</v>
      </c>
      <c r="AF115" s="39">
        <f t="shared" si="8"/>
        <v>12034.600922282634</v>
      </c>
      <c r="AG115" s="40">
        <f t="shared" si="9"/>
        <v>2.6849110195645398E-2</v>
      </c>
    </row>
    <row r="116" spans="1:33" x14ac:dyDescent="0.3">
      <c r="A116" s="31" t="s">
        <v>280</v>
      </c>
      <c r="B116" s="31">
        <v>8222</v>
      </c>
      <c r="C116" s="32" t="s">
        <v>281</v>
      </c>
      <c r="D116" s="33">
        <v>149.2059005296577</v>
      </c>
      <c r="E116" s="33">
        <v>1079.5775903797326</v>
      </c>
      <c r="F116" s="33">
        <v>1228.7834909093904</v>
      </c>
      <c r="G116" s="33">
        <v>161.55784713982692</v>
      </c>
      <c r="H116" s="33">
        <v>1074.0717446687959</v>
      </c>
      <c r="I116" s="33">
        <v>1235.6295918086228</v>
      </c>
      <c r="J116" s="33">
        <v>169.76908437499625</v>
      </c>
      <c r="K116" s="33">
        <v>1039.2718201415269</v>
      </c>
      <c r="L116" s="34">
        <v>1209.0409045165231</v>
      </c>
      <c r="M116" s="33">
        <v>169.55853983050471</v>
      </c>
      <c r="N116" s="33">
        <v>1028.3594660300409</v>
      </c>
      <c r="O116" s="34">
        <v>1197.9180058605457</v>
      </c>
      <c r="P116" s="33">
        <v>177.41886949152149</v>
      </c>
      <c r="Q116" s="33">
        <v>973.27222410544664</v>
      </c>
      <c r="R116" s="34">
        <v>1150.6910935969681</v>
      </c>
      <c r="S116" s="33">
        <v>180.7746904403603</v>
      </c>
      <c r="T116" s="33">
        <v>965.96207188914468</v>
      </c>
      <c r="U116" s="34">
        <v>1146.7367623295049</v>
      </c>
      <c r="V116" s="33">
        <v>182.07484668794666</v>
      </c>
      <c r="W116" s="33">
        <v>1010.7174112674103</v>
      </c>
      <c r="X116" s="34">
        <v>1192.7922579553569</v>
      </c>
      <c r="Y116" s="35">
        <f t="shared" si="5"/>
        <v>4.0162221303775114E-2</v>
      </c>
      <c r="Z116" s="33">
        <v>186.36681544535168</v>
      </c>
      <c r="AA116" s="33">
        <v>1043.9257232129273</v>
      </c>
      <c r="AB116" s="34">
        <f t="shared" si="6"/>
        <v>1230.292538658279</v>
      </c>
      <c r="AC116" s="35">
        <f t="shared" si="7"/>
        <v>3.1439071181769584E-2</v>
      </c>
      <c r="AD116" s="33">
        <v>190.53724571885135</v>
      </c>
      <c r="AE116" s="33">
        <v>1075.1891234455104</v>
      </c>
      <c r="AF116" s="34">
        <f t="shared" si="8"/>
        <v>1265.7263691643618</v>
      </c>
      <c r="AG116" s="35">
        <f t="shared" si="9"/>
        <v>2.8801142324024642E-2</v>
      </c>
    </row>
    <row r="117" spans="1:33" x14ac:dyDescent="0.3">
      <c r="A117" s="31" t="s">
        <v>282</v>
      </c>
      <c r="B117" s="31">
        <v>8223</v>
      </c>
      <c r="C117" s="32" t="s">
        <v>283</v>
      </c>
      <c r="D117" s="33">
        <v>280.33102927484686</v>
      </c>
      <c r="E117" s="33">
        <v>799.49856231976094</v>
      </c>
      <c r="F117" s="33">
        <v>1079.8295915946078</v>
      </c>
      <c r="G117" s="33">
        <v>290.9468234261621</v>
      </c>
      <c r="H117" s="33">
        <v>795.42111965193021</v>
      </c>
      <c r="I117" s="33">
        <v>1086.3679430780924</v>
      </c>
      <c r="J117" s="33">
        <v>296.50159943557122</v>
      </c>
      <c r="K117" s="33">
        <v>769.64947537520766</v>
      </c>
      <c r="L117" s="34">
        <v>1066.1510748107789</v>
      </c>
      <c r="M117" s="33">
        <v>296.50159943557122</v>
      </c>
      <c r="N117" s="33">
        <v>761.56815588376799</v>
      </c>
      <c r="O117" s="34">
        <v>1058.0697553193393</v>
      </c>
      <c r="P117" s="33">
        <v>298.3531914387076</v>
      </c>
      <c r="Q117" s="33">
        <v>720.77241214719913</v>
      </c>
      <c r="R117" s="34">
        <v>1019.1256035859067</v>
      </c>
      <c r="S117" s="33">
        <v>299.6354639845726</v>
      </c>
      <c r="T117" s="33">
        <v>715.35876125322659</v>
      </c>
      <c r="U117" s="34">
        <v>1014.9942252377991</v>
      </c>
      <c r="V117" s="33">
        <v>301.43811220012105</v>
      </c>
      <c r="W117" s="33">
        <v>748.50304824835621</v>
      </c>
      <c r="X117" s="34">
        <v>1049.9411604484771</v>
      </c>
      <c r="Y117" s="35">
        <f t="shared" si="5"/>
        <v>3.443067393067234E-2</v>
      </c>
      <c r="Z117" s="33">
        <v>305.65178743337879</v>
      </c>
      <c r="AA117" s="33">
        <v>773.09599820776418</v>
      </c>
      <c r="AB117" s="34">
        <f t="shared" si="6"/>
        <v>1078.7477856411429</v>
      </c>
      <c r="AC117" s="35">
        <f t="shared" si="7"/>
        <v>2.7436418608792312E-2</v>
      </c>
      <c r="AD117" s="33">
        <v>311.49769770676664</v>
      </c>
      <c r="AE117" s="33">
        <v>796.24861249126889</v>
      </c>
      <c r="AF117" s="34">
        <f t="shared" si="8"/>
        <v>1107.7463101980356</v>
      </c>
      <c r="AG117" s="35">
        <f t="shared" si="9"/>
        <v>2.6881653842429687E-2</v>
      </c>
    </row>
    <row r="118" spans="1:33" x14ac:dyDescent="0.3">
      <c r="A118" s="31" t="s">
        <v>284</v>
      </c>
      <c r="B118" s="31">
        <v>8227</v>
      </c>
      <c r="C118" s="32" t="s">
        <v>285</v>
      </c>
      <c r="D118" s="33">
        <v>550.51578592040448</v>
      </c>
      <c r="E118" s="33">
        <v>2484.2235323101086</v>
      </c>
      <c r="F118" s="33">
        <v>3034.7393182305132</v>
      </c>
      <c r="G118" s="33">
        <v>594.57250729276393</v>
      </c>
      <c r="H118" s="33">
        <v>2471.5539922953271</v>
      </c>
      <c r="I118" s="33">
        <v>3066.1264995880911</v>
      </c>
      <c r="J118" s="33">
        <v>607.13253750856825</v>
      </c>
      <c r="K118" s="33">
        <v>2391.4756429449585</v>
      </c>
      <c r="L118" s="34">
        <v>2998.608180453527</v>
      </c>
      <c r="M118" s="33">
        <v>610.80393095626482</v>
      </c>
      <c r="N118" s="33">
        <v>2366.3651486940366</v>
      </c>
      <c r="O118" s="34">
        <v>2977.1690796503017</v>
      </c>
      <c r="P118" s="33">
        <v>618.33994908574743</v>
      </c>
      <c r="Q118" s="33">
        <v>2239.6035116068851</v>
      </c>
      <c r="R118" s="34">
        <v>2857.9434606926325</v>
      </c>
      <c r="S118" s="33">
        <v>622.63388766585956</v>
      </c>
      <c r="T118" s="33">
        <v>2222.7820692924715</v>
      </c>
      <c r="U118" s="34">
        <v>2845.4159569583312</v>
      </c>
      <c r="V118" s="33">
        <v>620.76955319330602</v>
      </c>
      <c r="W118" s="33">
        <v>2325.7688932787914</v>
      </c>
      <c r="X118" s="34">
        <v>2946.5384464720973</v>
      </c>
      <c r="Y118" s="35">
        <f t="shared" si="5"/>
        <v>3.5538737057573488E-2</v>
      </c>
      <c r="Z118" s="33">
        <v>630.56578708054269</v>
      </c>
      <c r="AA118" s="33">
        <v>2402.1847718024746</v>
      </c>
      <c r="AB118" s="34">
        <f t="shared" si="6"/>
        <v>3032.7505588830172</v>
      </c>
      <c r="AC118" s="35">
        <f t="shared" si="7"/>
        <v>2.9258777367776156E-2</v>
      </c>
      <c r="AD118" s="33">
        <v>639.27660375278583</v>
      </c>
      <c r="AE118" s="33">
        <v>2474.1252004014918</v>
      </c>
      <c r="AF118" s="34">
        <f t="shared" si="8"/>
        <v>3113.4018041542777</v>
      </c>
      <c r="AG118" s="35">
        <f t="shared" si="9"/>
        <v>2.6593431838642489E-2</v>
      </c>
    </row>
    <row r="119" spans="1:33" x14ac:dyDescent="0.3">
      <c r="A119" s="31" t="s">
        <v>286</v>
      </c>
      <c r="B119" s="31">
        <v>8230</v>
      </c>
      <c r="C119" s="32" t="s">
        <v>287</v>
      </c>
      <c r="D119" s="33">
        <v>988.25799202631106</v>
      </c>
      <c r="E119" s="33">
        <v>2625.0576201012987</v>
      </c>
      <c r="F119" s="33">
        <v>3613.3156121276097</v>
      </c>
      <c r="G119" s="33">
        <v>985.95971762624981</v>
      </c>
      <c r="H119" s="33">
        <v>2611.6698262387822</v>
      </c>
      <c r="I119" s="33">
        <v>3597.6295438650322</v>
      </c>
      <c r="J119" s="33">
        <v>993.65394061775908</v>
      </c>
      <c r="K119" s="33">
        <v>2527.0517238686457</v>
      </c>
      <c r="L119" s="34">
        <v>3520.7056644864047</v>
      </c>
      <c r="M119" s="33">
        <v>1005.6449374876436</v>
      </c>
      <c r="N119" s="33">
        <v>2500.517680768025</v>
      </c>
      <c r="O119" s="34">
        <v>3506.1626182556683</v>
      </c>
      <c r="P119" s="33">
        <v>1028.128056618677</v>
      </c>
      <c r="Q119" s="33">
        <v>2366.569750139291</v>
      </c>
      <c r="R119" s="34">
        <v>3394.697806757968</v>
      </c>
      <c r="S119" s="33">
        <v>1036.4650031474976</v>
      </c>
      <c r="T119" s="33">
        <v>2348.7946768601632</v>
      </c>
      <c r="U119" s="34">
        <v>3385.2596800076608</v>
      </c>
      <c r="V119" s="33">
        <v>1043.3062808916923</v>
      </c>
      <c r="W119" s="33">
        <v>2457.6199671607997</v>
      </c>
      <c r="X119" s="34">
        <v>3500.9262480524922</v>
      </c>
      <c r="Y119" s="35">
        <f t="shared" si="5"/>
        <v>3.416770912078726E-2</v>
      </c>
      <c r="Z119" s="33">
        <v>1053.1002093372322</v>
      </c>
      <c r="AA119" s="33">
        <v>2538.3679681383096</v>
      </c>
      <c r="AB119" s="34">
        <f t="shared" si="6"/>
        <v>3591.4681774755418</v>
      </c>
      <c r="AC119" s="35">
        <f t="shared" si="7"/>
        <v>2.5862278439432007E-2</v>
      </c>
      <c r="AD119" s="33">
        <v>1070.9457932819903</v>
      </c>
      <c r="AE119" s="33">
        <v>2614.3867997092316</v>
      </c>
      <c r="AF119" s="34">
        <f t="shared" si="8"/>
        <v>3685.3325929912216</v>
      </c>
      <c r="AG119" s="35">
        <f t="shared" si="9"/>
        <v>2.6135388336270271E-2</v>
      </c>
    </row>
    <row r="120" spans="1:33" x14ac:dyDescent="0.3">
      <c r="A120" s="31" t="s">
        <v>288</v>
      </c>
      <c r="B120" s="31">
        <v>8231</v>
      </c>
      <c r="C120" s="32" t="s">
        <v>289</v>
      </c>
      <c r="D120" s="33">
        <v>7315.917655891295</v>
      </c>
      <c r="E120" s="33">
        <v>15693.366025583649</v>
      </c>
      <c r="F120" s="33">
        <v>23009.283681474946</v>
      </c>
      <c r="G120" s="33">
        <v>7644.6831576099303</v>
      </c>
      <c r="H120" s="33">
        <v>15613.329858853172</v>
      </c>
      <c r="I120" s="33">
        <v>23258.013016463105</v>
      </c>
      <c r="J120" s="33">
        <v>7722.8568933127044</v>
      </c>
      <c r="K120" s="33">
        <v>15107.457971426329</v>
      </c>
      <c r="L120" s="34">
        <v>22830.314864739034</v>
      </c>
      <c r="M120" s="33">
        <v>7735.3864816134983</v>
      </c>
      <c r="N120" s="33">
        <v>14948.829662726353</v>
      </c>
      <c r="O120" s="34">
        <v>22684.216144339851</v>
      </c>
      <c r="P120" s="33">
        <v>7939.6732473872971</v>
      </c>
      <c r="Q120" s="33">
        <v>14148.049562651793</v>
      </c>
      <c r="R120" s="34">
        <v>22087.722810039089</v>
      </c>
      <c r="S120" s="33">
        <v>7927.099304296933</v>
      </c>
      <c r="T120" s="33">
        <v>14041.78495003344</v>
      </c>
      <c r="U120" s="34">
        <v>21968.884254330373</v>
      </c>
      <c r="V120" s="33">
        <v>8009.6933196623468</v>
      </c>
      <c r="W120" s="33">
        <v>14692.374522030104</v>
      </c>
      <c r="X120" s="34">
        <v>22702.067841692449</v>
      </c>
      <c r="Y120" s="35">
        <f t="shared" si="5"/>
        <v>3.3373728901027633E-2</v>
      </c>
      <c r="Z120" s="33">
        <v>8123.1223547845939</v>
      </c>
      <c r="AA120" s="33">
        <v>15175.109805808503</v>
      </c>
      <c r="AB120" s="34">
        <f t="shared" si="6"/>
        <v>23298.232160593096</v>
      </c>
      <c r="AC120" s="35">
        <f t="shared" si="7"/>
        <v>2.6260353156278837E-2</v>
      </c>
      <c r="AD120" s="33">
        <v>8251.7950445667084</v>
      </c>
      <c r="AE120" s="33">
        <v>15629.572724848595</v>
      </c>
      <c r="AF120" s="34">
        <f t="shared" si="8"/>
        <v>23881.367769415301</v>
      </c>
      <c r="AG120" s="35">
        <f t="shared" si="9"/>
        <v>2.5029178385840289E-2</v>
      </c>
    </row>
    <row r="121" spans="1:33" x14ac:dyDescent="0.3">
      <c r="A121" s="31" t="s">
        <v>290</v>
      </c>
      <c r="B121" s="31">
        <v>8232</v>
      </c>
      <c r="C121" s="32" t="s">
        <v>291</v>
      </c>
      <c r="D121" s="33">
        <v>155.08537323762764</v>
      </c>
      <c r="E121" s="33">
        <v>486.812955157754</v>
      </c>
      <c r="F121" s="33">
        <v>641.89832839538167</v>
      </c>
      <c r="G121" s="33">
        <v>162.88797661066945</v>
      </c>
      <c r="H121" s="33">
        <v>484.33020908644949</v>
      </c>
      <c r="I121" s="33">
        <v>647.218185697119</v>
      </c>
      <c r="J121" s="33">
        <v>164.06181959599431</v>
      </c>
      <c r="K121" s="33">
        <v>468.63791031204852</v>
      </c>
      <c r="L121" s="34">
        <v>632.69972990804285</v>
      </c>
      <c r="M121" s="33">
        <v>164.40706753285457</v>
      </c>
      <c r="N121" s="33">
        <v>463.717212253772</v>
      </c>
      <c r="O121" s="34">
        <v>628.12427978662663</v>
      </c>
      <c r="P121" s="33">
        <v>163.78562124650611</v>
      </c>
      <c r="Q121" s="33">
        <v>438.87677162979691</v>
      </c>
      <c r="R121" s="34">
        <v>602.66239287630299</v>
      </c>
      <c r="S121" s="33">
        <v>163.39338843368259</v>
      </c>
      <c r="T121" s="33">
        <v>435.58041124330612</v>
      </c>
      <c r="U121" s="34">
        <v>598.97379967698873</v>
      </c>
      <c r="V121" s="33">
        <v>165.34156795393972</v>
      </c>
      <c r="W121" s="33">
        <v>455.76189631299724</v>
      </c>
      <c r="X121" s="34">
        <v>621.10346426693695</v>
      </c>
      <c r="Y121" s="35">
        <f t="shared" si="5"/>
        <v>3.6945964250660435E-2</v>
      </c>
      <c r="Z121" s="33">
        <v>165.8380148968962</v>
      </c>
      <c r="AA121" s="33">
        <v>470.73649065254011</v>
      </c>
      <c r="AB121" s="34">
        <f t="shared" si="6"/>
        <v>636.57450554943625</v>
      </c>
      <c r="AC121" s="35">
        <f t="shared" si="7"/>
        <v>2.4908959895689975E-2</v>
      </c>
      <c r="AD121" s="33">
        <v>168.73147056315659</v>
      </c>
      <c r="AE121" s="33">
        <v>484.83406769667829</v>
      </c>
      <c r="AF121" s="34">
        <f t="shared" si="8"/>
        <v>653.56553825983485</v>
      </c>
      <c r="AG121" s="35">
        <f t="shared" si="9"/>
        <v>2.6691349657073316E-2</v>
      </c>
    </row>
    <row r="122" spans="1:33" x14ac:dyDescent="0.3">
      <c r="A122" s="31" t="s">
        <v>292</v>
      </c>
      <c r="B122" s="31">
        <v>8234</v>
      </c>
      <c r="C122" s="32" t="s">
        <v>293</v>
      </c>
      <c r="D122" s="33">
        <v>716.03298293199532</v>
      </c>
      <c r="E122" s="33">
        <v>1917.0049123515853</v>
      </c>
      <c r="F122" s="33">
        <v>2633.0378952835808</v>
      </c>
      <c r="G122" s="33">
        <v>778.67085986260304</v>
      </c>
      <c r="H122" s="33">
        <v>1907.2281872985923</v>
      </c>
      <c r="I122" s="33">
        <v>2685.8990471611951</v>
      </c>
      <c r="J122" s="33">
        <v>804.68659149512371</v>
      </c>
      <c r="K122" s="33">
        <v>1845.4339940301179</v>
      </c>
      <c r="L122" s="34">
        <v>2650.1205855252415</v>
      </c>
      <c r="M122" s="33">
        <v>829.90183907741311</v>
      </c>
      <c r="N122" s="33">
        <v>1826.0569370928017</v>
      </c>
      <c r="O122" s="34">
        <v>2655.9587761702151</v>
      </c>
      <c r="P122" s="33">
        <v>855.71744969737608</v>
      </c>
      <c r="Q122" s="33">
        <v>1728.2385733935305</v>
      </c>
      <c r="R122" s="34">
        <v>2583.9560230909065</v>
      </c>
      <c r="S122" s="33">
        <v>861.85752321183577</v>
      </c>
      <c r="T122" s="33">
        <v>1715.2579429751468</v>
      </c>
      <c r="U122" s="34">
        <v>2577.1154661869823</v>
      </c>
      <c r="V122" s="33">
        <v>873.1850844828208</v>
      </c>
      <c r="W122" s="33">
        <v>1794.7299570356827</v>
      </c>
      <c r="X122" s="34">
        <v>2667.9150415185036</v>
      </c>
      <c r="Y122" s="35">
        <f t="shared" si="5"/>
        <v>3.5233025653237604E-2</v>
      </c>
      <c r="Z122" s="33">
        <v>890.20341553907167</v>
      </c>
      <c r="AA122" s="33">
        <v>1853.6979253389779</v>
      </c>
      <c r="AB122" s="34">
        <f t="shared" si="6"/>
        <v>2743.9013408780497</v>
      </c>
      <c r="AC122" s="35">
        <f t="shared" si="7"/>
        <v>2.8481528900671682E-2</v>
      </c>
      <c r="AD122" s="33">
        <v>904.59394538200411</v>
      </c>
      <c r="AE122" s="33">
        <v>1909.2123157419824</v>
      </c>
      <c r="AF122" s="34">
        <f t="shared" si="8"/>
        <v>2813.8062611239866</v>
      </c>
      <c r="AG122" s="35">
        <f t="shared" si="9"/>
        <v>2.5476470018986674E-2</v>
      </c>
    </row>
    <row r="123" spans="1:33" x14ac:dyDescent="0.3">
      <c r="A123" s="31" t="s">
        <v>294</v>
      </c>
      <c r="B123" s="31">
        <v>8235</v>
      </c>
      <c r="C123" s="32" t="s">
        <v>295</v>
      </c>
      <c r="D123" s="33">
        <v>296.05553426985045</v>
      </c>
      <c r="E123" s="33">
        <v>1053.8003074311871</v>
      </c>
      <c r="F123" s="33">
        <v>1349.8558417010377</v>
      </c>
      <c r="G123" s="33">
        <v>308.27488064553881</v>
      </c>
      <c r="H123" s="33">
        <v>1048.4259258632881</v>
      </c>
      <c r="I123" s="33">
        <v>1356.7008065088269</v>
      </c>
      <c r="J123" s="33">
        <v>316.46246298863963</v>
      </c>
      <c r="K123" s="33">
        <v>1014.4569258653175</v>
      </c>
      <c r="L123" s="34">
        <v>1330.9193888539571</v>
      </c>
      <c r="M123" s="33">
        <v>314.84975737560461</v>
      </c>
      <c r="N123" s="33">
        <v>1003.8051281437317</v>
      </c>
      <c r="O123" s="34">
        <v>1318.6548855193364</v>
      </c>
      <c r="P123" s="33">
        <v>314.66367595871594</v>
      </c>
      <c r="Q123" s="33">
        <v>950.03321495011426</v>
      </c>
      <c r="R123" s="34">
        <v>1264.6968909088303</v>
      </c>
      <c r="S123" s="33">
        <v>314.53494407233785</v>
      </c>
      <c r="T123" s="33">
        <v>942.89760865228618</v>
      </c>
      <c r="U123" s="34">
        <v>1257.432552724624</v>
      </c>
      <c r="V123" s="33">
        <v>316.68905884366467</v>
      </c>
      <c r="W123" s="33">
        <v>986.584316135177</v>
      </c>
      <c r="X123" s="34">
        <v>1303.2733749788417</v>
      </c>
      <c r="Y123" s="35">
        <f t="shared" si="5"/>
        <v>3.645588954643264E-2</v>
      </c>
      <c r="Z123" s="33">
        <v>320.65670872978222</v>
      </c>
      <c r="AA123" s="33">
        <v>1018.9997067928762</v>
      </c>
      <c r="AB123" s="34">
        <f t="shared" si="6"/>
        <v>1339.6564155226583</v>
      </c>
      <c r="AC123" s="35">
        <f t="shared" si="7"/>
        <v>2.7916660650270098E-2</v>
      </c>
      <c r="AD123" s="33">
        <v>325.89384076822523</v>
      </c>
      <c r="AE123" s="33">
        <v>1049.516624770816</v>
      </c>
      <c r="AF123" s="34">
        <f t="shared" si="8"/>
        <v>1375.4104655390411</v>
      </c>
      <c r="AG123" s="35">
        <f t="shared" si="9"/>
        <v>2.6688970098675213E-2</v>
      </c>
    </row>
    <row r="124" spans="1:33" x14ac:dyDescent="0.3">
      <c r="A124" s="31" t="s">
        <v>296</v>
      </c>
      <c r="B124" s="31">
        <v>8236</v>
      </c>
      <c r="C124" s="32" t="s">
        <v>297</v>
      </c>
      <c r="D124" s="33">
        <v>85.086971750319051</v>
      </c>
      <c r="E124" s="33">
        <v>388.24303499730394</v>
      </c>
      <c r="F124" s="33">
        <v>473.33000674762297</v>
      </c>
      <c r="G124" s="33">
        <v>90.42838047226158</v>
      </c>
      <c r="H124" s="33">
        <v>386.26299551881772</v>
      </c>
      <c r="I124" s="33">
        <v>476.69137599107933</v>
      </c>
      <c r="J124" s="33">
        <v>90.42838047226158</v>
      </c>
      <c r="K124" s="33">
        <v>373.74807446400803</v>
      </c>
      <c r="L124" s="34">
        <v>464.17645493626958</v>
      </c>
      <c r="M124" s="33">
        <v>91.304705340705269</v>
      </c>
      <c r="N124" s="33">
        <v>369.82371968213596</v>
      </c>
      <c r="O124" s="34">
        <v>461.12842502284121</v>
      </c>
      <c r="P124" s="33">
        <v>89.552055603817877</v>
      </c>
      <c r="Q124" s="33">
        <v>350.01297315958874</v>
      </c>
      <c r="R124" s="34">
        <v>439.56502876340664</v>
      </c>
      <c r="S124" s="33">
        <v>87.961164958889427</v>
      </c>
      <c r="T124" s="33">
        <v>347.3840600476085</v>
      </c>
      <c r="U124" s="34">
        <v>435.34522500649791</v>
      </c>
      <c r="V124" s="33">
        <v>87.896669966838431</v>
      </c>
      <c r="W124" s="33">
        <v>363.47919665232479</v>
      </c>
      <c r="X124" s="34">
        <v>451.37586661916322</v>
      </c>
      <c r="Y124" s="35">
        <f t="shared" si="5"/>
        <v>3.6822826326913471E-2</v>
      </c>
      <c r="Z124" s="33">
        <v>90.819896916401518</v>
      </c>
      <c r="AA124" s="33">
        <v>375.42173411489824</v>
      </c>
      <c r="AB124" s="34">
        <f t="shared" si="6"/>
        <v>466.24163103129979</v>
      </c>
      <c r="AC124" s="35">
        <f t="shared" si="7"/>
        <v>3.2934335908302304E-2</v>
      </c>
      <c r="AD124" s="33">
        <v>92.388617940134367</v>
      </c>
      <c r="AE124" s="33">
        <v>386.66483280349189</v>
      </c>
      <c r="AF124" s="34">
        <f t="shared" si="8"/>
        <v>479.05345074362629</v>
      </c>
      <c r="AG124" s="35">
        <f t="shared" si="9"/>
        <v>2.7478926933202974E-2</v>
      </c>
    </row>
    <row r="125" spans="1:33" x14ac:dyDescent="0.3">
      <c r="A125" s="42" t="s">
        <v>298</v>
      </c>
      <c r="B125" s="42">
        <v>8238</v>
      </c>
      <c r="C125" s="43" t="s">
        <v>299</v>
      </c>
      <c r="D125" s="44">
        <v>2418.261030679595</v>
      </c>
      <c r="E125" s="44">
        <v>8199.7721711558297</v>
      </c>
      <c r="F125" s="44">
        <v>10618.033201835424</v>
      </c>
      <c r="G125" s="44">
        <v>2571.6423902518154</v>
      </c>
      <c r="H125" s="44">
        <v>8157.9533330829354</v>
      </c>
      <c r="I125" s="44">
        <v>10729.595723334751</v>
      </c>
      <c r="J125" s="44">
        <v>2605.0843242155838</v>
      </c>
      <c r="K125" s="44">
        <v>7893.635645091048</v>
      </c>
      <c r="L125" s="45">
        <v>10498.719969306632</v>
      </c>
      <c r="M125" s="44">
        <v>2638.9495737991465</v>
      </c>
      <c r="N125" s="44">
        <v>7810.7524708175924</v>
      </c>
      <c r="O125" s="45">
        <v>10449.702044616739</v>
      </c>
      <c r="P125" s="44">
        <v>2680.1522941258145</v>
      </c>
      <c r="Q125" s="44">
        <v>7392.3454592751114</v>
      </c>
      <c r="R125" s="45">
        <v>10072.497753400927</v>
      </c>
      <c r="S125" s="44">
        <v>2703.837162541784</v>
      </c>
      <c r="T125" s="44">
        <v>7336.8222775748854</v>
      </c>
      <c r="U125" s="45">
        <v>10040.659440116669</v>
      </c>
      <c r="V125" s="44">
        <v>2735.7918355967313</v>
      </c>
      <c r="W125" s="44">
        <v>7676.754848994281</v>
      </c>
      <c r="X125" s="45">
        <v>10412.546684591012</v>
      </c>
      <c r="Y125" s="46">
        <f t="shared" si="5"/>
        <v>3.7038129486644644E-2</v>
      </c>
      <c r="Z125" s="44">
        <v>2799.3157341731148</v>
      </c>
      <c r="AA125" s="44">
        <v>7928.9836786480464</v>
      </c>
      <c r="AB125" s="45">
        <f t="shared" si="6"/>
        <v>10728.299412821161</v>
      </c>
      <c r="AC125" s="46">
        <f t="shared" si="7"/>
        <v>3.0324255707531611E-2</v>
      </c>
      <c r="AD125" s="44">
        <v>2829.5352962511856</v>
      </c>
      <c r="AE125" s="44">
        <v>8166.4402185829586</v>
      </c>
      <c r="AF125" s="45">
        <f t="shared" si="8"/>
        <v>10995.975514834145</v>
      </c>
      <c r="AG125" s="46">
        <f t="shared" si="9"/>
        <v>2.4950469008451659E-2</v>
      </c>
    </row>
    <row r="126" spans="1:33" x14ac:dyDescent="0.3">
      <c r="A126" s="31" t="s">
        <v>300</v>
      </c>
      <c r="B126" s="31">
        <v>8239</v>
      </c>
      <c r="C126" s="32" t="s">
        <v>301</v>
      </c>
      <c r="D126" s="33">
        <v>57.34467533311156</v>
      </c>
      <c r="E126" s="33">
        <v>292.70670105592478</v>
      </c>
      <c r="F126" s="33">
        <v>350.05137638903636</v>
      </c>
      <c r="G126" s="33">
        <v>61.108229154628376</v>
      </c>
      <c r="H126" s="33">
        <v>291.21389688053955</v>
      </c>
      <c r="I126" s="33">
        <v>352.32212603516791</v>
      </c>
      <c r="J126" s="33">
        <v>63.881374075746038</v>
      </c>
      <c r="K126" s="33">
        <v>281.77856662161008</v>
      </c>
      <c r="L126" s="34">
        <v>345.65994069735609</v>
      </c>
      <c r="M126" s="33">
        <v>63.386169625546458</v>
      </c>
      <c r="N126" s="33">
        <v>278.8198916720832</v>
      </c>
      <c r="O126" s="34">
        <v>342.20606129762967</v>
      </c>
      <c r="P126" s="33">
        <v>64.178496745865786</v>
      </c>
      <c r="Q126" s="33">
        <v>263.88404546917525</v>
      </c>
      <c r="R126" s="34">
        <v>328.06254221504105</v>
      </c>
      <c r="S126" s="33">
        <v>63.574338033571621</v>
      </c>
      <c r="T126" s="33">
        <v>261.9020382855158</v>
      </c>
      <c r="U126" s="34">
        <v>325.47637631908742</v>
      </c>
      <c r="V126" s="33">
        <v>64.506270150630385</v>
      </c>
      <c r="W126" s="33">
        <v>274.03658781746987</v>
      </c>
      <c r="X126" s="34">
        <v>338.54285796810024</v>
      </c>
      <c r="Y126" s="35">
        <f t="shared" si="5"/>
        <v>4.0145714404177912E-2</v>
      </c>
      <c r="Z126" s="33">
        <v>64.890791038337937</v>
      </c>
      <c r="AA126" s="33">
        <v>283.04038293495586</v>
      </c>
      <c r="AB126" s="34">
        <f t="shared" si="6"/>
        <v>347.93117397329377</v>
      </c>
      <c r="AC126" s="35">
        <f t="shared" si="7"/>
        <v>2.7731543537917958E-2</v>
      </c>
      <c r="AD126" s="33">
        <v>66.793332175738982</v>
      </c>
      <c r="AE126" s="33">
        <v>291.51685264627287</v>
      </c>
      <c r="AF126" s="34">
        <f t="shared" si="8"/>
        <v>358.31018482201182</v>
      </c>
      <c r="AG126" s="35">
        <f t="shared" si="9"/>
        <v>2.9830643601699069E-2</v>
      </c>
    </row>
    <row r="127" spans="1:33" x14ac:dyDescent="0.3">
      <c r="A127" s="31" t="s">
        <v>302</v>
      </c>
      <c r="B127" s="31">
        <v>8240</v>
      </c>
      <c r="C127" s="32" t="s">
        <v>303</v>
      </c>
      <c r="D127" s="33">
        <v>1962.511095619426</v>
      </c>
      <c r="E127" s="33">
        <v>2635.3316893208271</v>
      </c>
      <c r="F127" s="33">
        <v>4597.8427849402533</v>
      </c>
      <c r="G127" s="33">
        <v>2011.839944713071</v>
      </c>
      <c r="H127" s="33">
        <v>2621.8914977052909</v>
      </c>
      <c r="I127" s="33">
        <v>4633.7314424183623</v>
      </c>
      <c r="J127" s="33">
        <v>2067.2504327360693</v>
      </c>
      <c r="K127" s="33">
        <v>2536.9422131796396</v>
      </c>
      <c r="L127" s="34">
        <v>4604.1926459157094</v>
      </c>
      <c r="M127" s="33">
        <v>2081.7787924006361</v>
      </c>
      <c r="N127" s="33">
        <v>2510.3043199412537</v>
      </c>
      <c r="O127" s="34">
        <v>4592.0831123418902</v>
      </c>
      <c r="P127" s="33">
        <v>2108.6393643386141</v>
      </c>
      <c r="Q127" s="33">
        <v>2375.8321378444552</v>
      </c>
      <c r="R127" s="34">
        <v>4484.4715021830689</v>
      </c>
      <c r="S127" s="33">
        <v>2119.2120676779746</v>
      </c>
      <c r="T127" s="33">
        <v>2357.987495679733</v>
      </c>
      <c r="U127" s="34">
        <v>4477.199563357708</v>
      </c>
      <c r="V127" s="33">
        <v>2129.9228169027301</v>
      </c>
      <c r="W127" s="33">
        <v>2467.2387113226637</v>
      </c>
      <c r="X127" s="34">
        <v>4597.1615282253933</v>
      </c>
      <c r="Y127" s="35">
        <f t="shared" si="5"/>
        <v>2.6793973145507799E-2</v>
      </c>
      <c r="Z127" s="33">
        <v>2160.7774758421315</v>
      </c>
      <c r="AA127" s="33">
        <v>2548.302747477851</v>
      </c>
      <c r="AB127" s="34">
        <f t="shared" si="6"/>
        <v>4709.0802233199829</v>
      </c>
      <c r="AC127" s="35">
        <f t="shared" si="7"/>
        <v>2.4345173517927865E-2</v>
      </c>
      <c r="AD127" s="33">
        <v>2193.5017813211298</v>
      </c>
      <c r="AE127" s="33">
        <v>2624.6191049893719</v>
      </c>
      <c r="AF127" s="34">
        <f t="shared" si="8"/>
        <v>4818.1208863105021</v>
      </c>
      <c r="AG127" s="35">
        <f t="shared" si="9"/>
        <v>2.3155405688468633E-2</v>
      </c>
    </row>
    <row r="128" spans="1:33" x14ac:dyDescent="0.3">
      <c r="A128" s="31" t="s">
        <v>304</v>
      </c>
      <c r="B128" s="31">
        <v>8244</v>
      </c>
      <c r="C128" s="32" t="s">
        <v>305</v>
      </c>
      <c r="D128" s="33">
        <v>576.02529304798986</v>
      </c>
      <c r="E128" s="33">
        <v>1948.8377289226405</v>
      </c>
      <c r="F128" s="33">
        <v>2524.8630219706301</v>
      </c>
      <c r="G128" s="33">
        <v>603.19629743704604</v>
      </c>
      <c r="H128" s="33">
        <v>1938.898656505135</v>
      </c>
      <c r="I128" s="33">
        <v>2542.0949539421808</v>
      </c>
      <c r="J128" s="33">
        <v>609.89060286623385</v>
      </c>
      <c r="K128" s="33">
        <v>1876.0783400343687</v>
      </c>
      <c r="L128" s="34">
        <v>2485.9689429006025</v>
      </c>
      <c r="M128" s="33">
        <v>617.84501284679811</v>
      </c>
      <c r="N128" s="33">
        <v>1856.3795174640079</v>
      </c>
      <c r="O128" s="34">
        <v>2474.2245303108061</v>
      </c>
      <c r="P128" s="33">
        <v>627.21704044766102</v>
      </c>
      <c r="Q128" s="33">
        <v>1756.936831360106</v>
      </c>
      <c r="R128" s="34">
        <v>2384.1538718077672</v>
      </c>
      <c r="S128" s="33">
        <v>630.77467686738578</v>
      </c>
      <c r="T128" s="33">
        <v>1743.7406511408726</v>
      </c>
      <c r="U128" s="34">
        <v>2374.5153280082586</v>
      </c>
      <c r="V128" s="33">
        <v>636.60624785428661</v>
      </c>
      <c r="W128" s="33">
        <v>1824.5323373784704</v>
      </c>
      <c r="X128" s="34">
        <v>2461.1385852327571</v>
      </c>
      <c r="Y128" s="35">
        <f t="shared" si="5"/>
        <v>3.648039505272771E-2</v>
      </c>
      <c r="Z128" s="33">
        <v>644.54144531871998</v>
      </c>
      <c r="AA128" s="33">
        <v>1884.4794980179313</v>
      </c>
      <c r="AB128" s="34">
        <f t="shared" si="6"/>
        <v>2529.0209433366513</v>
      </c>
      <c r="AC128" s="35">
        <f t="shared" si="7"/>
        <v>2.7581688618105282E-2</v>
      </c>
      <c r="AD128" s="33">
        <v>650.74143159769756</v>
      </c>
      <c r="AE128" s="33">
        <v>1940.9157323845932</v>
      </c>
      <c r="AF128" s="34">
        <f t="shared" si="8"/>
        <v>2591.6571639822905</v>
      </c>
      <c r="AG128" s="35">
        <f t="shared" si="9"/>
        <v>2.4766983765267092E-2</v>
      </c>
    </row>
    <row r="129" spans="1:33" x14ac:dyDescent="0.3">
      <c r="A129" s="36" t="s">
        <v>306</v>
      </c>
      <c r="B129" s="36">
        <v>8245</v>
      </c>
      <c r="C129" s="37" t="s">
        <v>307</v>
      </c>
      <c r="D129" s="38">
        <v>14418.019211812312</v>
      </c>
      <c r="E129" s="38">
        <v>34056.927840505617</v>
      </c>
      <c r="F129" s="38">
        <v>48474.947052317933</v>
      </c>
      <c r="G129" s="38">
        <v>14209.722334340222</v>
      </c>
      <c r="H129" s="38">
        <v>33883.237508519036</v>
      </c>
      <c r="I129" s="38">
        <v>48092.959842859258</v>
      </c>
      <c r="J129" s="38">
        <v>14498.06818623618</v>
      </c>
      <c r="K129" s="38">
        <v>32785.420613243019</v>
      </c>
      <c r="L129" s="39">
        <v>47283.488799479201</v>
      </c>
      <c r="M129" s="38">
        <v>14539.606458894857</v>
      </c>
      <c r="N129" s="38">
        <v>32441.17369680397</v>
      </c>
      <c r="O129" s="39">
        <v>46980.780155698827</v>
      </c>
      <c r="P129" s="38">
        <v>14604.154270344055</v>
      </c>
      <c r="Q129" s="38">
        <v>30703.362315874434</v>
      </c>
      <c r="R129" s="39">
        <v>45307.516586218488</v>
      </c>
      <c r="S129" s="38">
        <v>14428.728524140006</v>
      </c>
      <c r="T129" s="38">
        <v>30472.752372918749</v>
      </c>
      <c r="U129" s="39">
        <v>44901.480897058755</v>
      </c>
      <c r="V129" s="38">
        <v>14469.214887006528</v>
      </c>
      <c r="W129" s="38">
        <v>31884.62807065975</v>
      </c>
      <c r="X129" s="39">
        <v>46353.842957666275</v>
      </c>
      <c r="Y129" s="40">
        <f t="shared" si="5"/>
        <v>3.2345526953492021E-2</v>
      </c>
      <c r="Z129" s="38">
        <v>14601.10687762039</v>
      </c>
      <c r="AA129" s="38">
        <v>32932.235110405418</v>
      </c>
      <c r="AB129" s="39">
        <f t="shared" si="6"/>
        <v>47533.341988025808</v>
      </c>
      <c r="AC129" s="40">
        <f t="shared" si="7"/>
        <v>2.5445550036417464E-2</v>
      </c>
      <c r="AD129" s="38">
        <v>14770.213442731218</v>
      </c>
      <c r="AE129" s="38">
        <v>33918.486932653243</v>
      </c>
      <c r="AF129" s="39">
        <f t="shared" si="8"/>
        <v>48688.700375384462</v>
      </c>
      <c r="AG129" s="40">
        <f t="shared" si="9"/>
        <v>2.4306273008317003E-2</v>
      </c>
    </row>
    <row r="130" spans="1:33" x14ac:dyDescent="0.3">
      <c r="A130" s="31" t="s">
        <v>308</v>
      </c>
      <c r="B130" s="31">
        <v>8248</v>
      </c>
      <c r="C130" s="32" t="s">
        <v>309</v>
      </c>
      <c r="D130" s="33">
        <v>2510.3596614917319</v>
      </c>
      <c r="E130" s="33">
        <v>5277.0073414151566</v>
      </c>
      <c r="F130" s="33">
        <v>7787.367002906889</v>
      </c>
      <c r="G130" s="33">
        <v>2739.5824877251448</v>
      </c>
      <c r="H130" s="33">
        <v>5250.0946039739392</v>
      </c>
      <c r="I130" s="33">
        <v>7989.6770916990845</v>
      </c>
      <c r="J130" s="33">
        <v>2794.2180359133954</v>
      </c>
      <c r="K130" s="33">
        <v>5079.9915388051841</v>
      </c>
      <c r="L130" s="34">
        <v>7874.2095747185795</v>
      </c>
      <c r="M130" s="33">
        <v>2805.3094629892062</v>
      </c>
      <c r="N130" s="33">
        <v>5026.6516276477296</v>
      </c>
      <c r="O130" s="34">
        <v>7831.9610906369362</v>
      </c>
      <c r="P130" s="33">
        <v>2879.2523101612746</v>
      </c>
      <c r="Q130" s="33">
        <v>4757.3835522033814</v>
      </c>
      <c r="R130" s="34">
        <v>7636.6358623646556</v>
      </c>
      <c r="S130" s="33">
        <v>2905.3022737442157</v>
      </c>
      <c r="T130" s="33">
        <v>4721.6513109489861</v>
      </c>
      <c r="U130" s="34">
        <v>7626.9535846932013</v>
      </c>
      <c r="V130" s="33">
        <v>2949.1360313534451</v>
      </c>
      <c r="W130" s="33">
        <v>4940.4167397344818</v>
      </c>
      <c r="X130" s="34">
        <v>7889.5527710879269</v>
      </c>
      <c r="Y130" s="35">
        <f t="shared" si="5"/>
        <v>3.4430416217786419E-2</v>
      </c>
      <c r="Z130" s="33">
        <v>2999.2512711798267</v>
      </c>
      <c r="AA130" s="33">
        <v>5102.739955308879</v>
      </c>
      <c r="AB130" s="34">
        <f t="shared" si="6"/>
        <v>8101.9912264887062</v>
      </c>
      <c r="AC130" s="35">
        <f t="shared" si="7"/>
        <v>2.6926552310960084E-2</v>
      </c>
      <c r="AD130" s="33">
        <v>3052.3714344793648</v>
      </c>
      <c r="AE130" s="33">
        <v>5255.5563846374198</v>
      </c>
      <c r="AF130" s="34">
        <f t="shared" si="8"/>
        <v>8307.927819116785</v>
      </c>
      <c r="AG130" s="35">
        <f t="shared" si="9"/>
        <v>2.5418022171486587E-2</v>
      </c>
    </row>
    <row r="131" spans="1:33" x14ac:dyDescent="0.3">
      <c r="A131" s="31" t="s">
        <v>310</v>
      </c>
      <c r="B131" s="31">
        <v>8249</v>
      </c>
      <c r="C131" s="32" t="s">
        <v>311</v>
      </c>
      <c r="D131" s="33">
        <v>83.393726568432427</v>
      </c>
      <c r="E131" s="33">
        <v>254.26022675389748</v>
      </c>
      <c r="F131" s="33">
        <v>337.65395332232993</v>
      </c>
      <c r="G131" s="33">
        <v>93.162705966448797</v>
      </c>
      <c r="H131" s="33">
        <v>252.9634995974526</v>
      </c>
      <c r="I131" s="33">
        <v>346.12620556390141</v>
      </c>
      <c r="J131" s="33">
        <v>92.686170386057753</v>
      </c>
      <c r="K131" s="33">
        <v>244.76748221049513</v>
      </c>
      <c r="L131" s="34">
        <v>337.4536525965529</v>
      </c>
      <c r="M131" s="33">
        <v>91.494831435080144</v>
      </c>
      <c r="N131" s="33">
        <v>242.19742364728495</v>
      </c>
      <c r="O131" s="34">
        <v>333.69225508236508</v>
      </c>
      <c r="P131" s="33">
        <v>91.494831435080144</v>
      </c>
      <c r="Q131" s="33">
        <v>229.22337273347571</v>
      </c>
      <c r="R131" s="34">
        <v>320.71820416855587</v>
      </c>
      <c r="S131" s="33">
        <v>93.363987672805877</v>
      </c>
      <c r="T131" s="33">
        <v>227.50169846320057</v>
      </c>
      <c r="U131" s="34">
        <v>320.86568613600645</v>
      </c>
      <c r="V131" s="33">
        <v>93.200083729707359</v>
      </c>
      <c r="W131" s="33">
        <v>238.0423977516721</v>
      </c>
      <c r="X131" s="34">
        <v>331.24248148137946</v>
      </c>
      <c r="Y131" s="35">
        <f t="shared" ref="Y131:Y165" si="10">+X131/U131-1</f>
        <v>3.2339997057131864E-2</v>
      </c>
      <c r="Z131" s="33">
        <v>93.205357763248912</v>
      </c>
      <c r="AA131" s="33">
        <v>245.86356132585428</v>
      </c>
      <c r="AB131" s="34">
        <f t="shared" ref="AB131:AB165" si="11">Z131+AA131</f>
        <v>339.06891908910319</v>
      </c>
      <c r="AC131" s="35">
        <f t="shared" ref="AC131:AC165" si="12">+AB131/X131-1</f>
        <v>2.3627517740847814E-2</v>
      </c>
      <c r="AD131" s="33">
        <v>95.519359510211657</v>
      </c>
      <c r="AE131" s="33">
        <v>253.22666269352754</v>
      </c>
      <c r="AF131" s="34">
        <f t="shared" ref="AF131:AF165" si="13">AD131+AE131</f>
        <v>348.74602220373919</v>
      </c>
      <c r="AG131" s="35">
        <f t="shared" ref="AG131:AG165" si="14">+AF131/AB131-1</f>
        <v>2.8540224626406818E-2</v>
      </c>
    </row>
    <row r="132" spans="1:33" x14ac:dyDescent="0.3">
      <c r="A132" s="31" t="s">
        <v>312</v>
      </c>
      <c r="B132" s="31">
        <v>8251</v>
      </c>
      <c r="C132" s="32" t="s">
        <v>313</v>
      </c>
      <c r="D132" s="33">
        <v>1581.3884763886156</v>
      </c>
      <c r="E132" s="33">
        <v>4115.184078689872</v>
      </c>
      <c r="F132" s="33">
        <v>5696.5725550784873</v>
      </c>
      <c r="G132" s="33">
        <v>1720.4367799707684</v>
      </c>
      <c r="H132" s="33">
        <v>4094.1966398885538</v>
      </c>
      <c r="I132" s="33">
        <v>5814.6334198593222</v>
      </c>
      <c r="J132" s="33">
        <v>1776.6153450377808</v>
      </c>
      <c r="K132" s="33">
        <v>3961.5446687561648</v>
      </c>
      <c r="L132" s="34">
        <v>5738.1600137939458</v>
      </c>
      <c r="M132" s="33">
        <v>1762.3800525321126</v>
      </c>
      <c r="N132" s="33">
        <v>3919.9484497342251</v>
      </c>
      <c r="O132" s="34">
        <v>5682.3285022663376</v>
      </c>
      <c r="P132" s="33">
        <v>1810.1699630868561</v>
      </c>
      <c r="Q132" s="33">
        <v>3709.9643384233468</v>
      </c>
      <c r="R132" s="34">
        <v>5520.1343015102029</v>
      </c>
      <c r="S132" s="33">
        <v>1816.5775434979309</v>
      </c>
      <c r="T132" s="33">
        <v>3682.099160152331</v>
      </c>
      <c r="U132" s="34">
        <v>5498.6767036502624</v>
      </c>
      <c r="V132" s="33">
        <v>1821.6262868578285</v>
      </c>
      <c r="W132" s="33">
        <v>3852.6996447187234</v>
      </c>
      <c r="X132" s="34">
        <v>5674.3259315765517</v>
      </c>
      <c r="Y132" s="35">
        <f t="shared" si="10"/>
        <v>3.1943908942616339E-2</v>
      </c>
      <c r="Z132" s="33">
        <v>1859.3270036539961</v>
      </c>
      <c r="AA132" s="33">
        <v>3979.2846329735185</v>
      </c>
      <c r="AB132" s="34">
        <f t="shared" si="11"/>
        <v>5838.6116366275146</v>
      </c>
      <c r="AC132" s="35">
        <f t="shared" si="12"/>
        <v>2.8952461848682942E-2</v>
      </c>
      <c r="AD132" s="33">
        <v>1887.3541131876534</v>
      </c>
      <c r="AE132" s="33">
        <v>4098.4559162877467</v>
      </c>
      <c r="AF132" s="34">
        <f t="shared" si="13"/>
        <v>5985.8100294754004</v>
      </c>
      <c r="AG132" s="35">
        <f t="shared" si="14"/>
        <v>2.5211197799912322E-2</v>
      </c>
    </row>
    <row r="133" spans="1:33" x14ac:dyDescent="0.3">
      <c r="A133" s="42" t="s">
        <v>314</v>
      </c>
      <c r="B133" s="42">
        <v>8252</v>
      </c>
      <c r="C133" s="43" t="s">
        <v>315</v>
      </c>
      <c r="D133" s="44">
        <v>12216.389702276647</v>
      </c>
      <c r="E133" s="44">
        <v>41435.779566393649</v>
      </c>
      <c r="F133" s="44">
        <v>53652.169268670295</v>
      </c>
      <c r="G133" s="44">
        <v>12915.249281514909</v>
      </c>
      <c r="H133" s="44">
        <v>41224.457090605043</v>
      </c>
      <c r="I133" s="44">
        <v>54139.706372119952</v>
      </c>
      <c r="J133" s="44">
        <v>13287.718397922114</v>
      </c>
      <c r="K133" s="44">
        <v>39888.784680869438</v>
      </c>
      <c r="L133" s="45">
        <v>53176.503078791553</v>
      </c>
      <c r="M133" s="44">
        <v>13519.818282601977</v>
      </c>
      <c r="N133" s="44">
        <v>39469.952441720314</v>
      </c>
      <c r="O133" s="45">
        <v>52989.77072432229</v>
      </c>
      <c r="P133" s="44">
        <v>13838.955624036786</v>
      </c>
      <c r="Q133" s="44">
        <v>37355.622880187635</v>
      </c>
      <c r="R133" s="45">
        <v>51194.578504224424</v>
      </c>
      <c r="S133" s="44">
        <v>13801.165974237561</v>
      </c>
      <c r="T133" s="44">
        <v>37075.04846058994</v>
      </c>
      <c r="U133" s="45">
        <v>50876.214434827503</v>
      </c>
      <c r="V133" s="44">
        <v>13944.170820908423</v>
      </c>
      <c r="W133" s="44">
        <v>38792.824369818161</v>
      </c>
      <c r="X133" s="45">
        <v>52736.995190726586</v>
      </c>
      <c r="Y133" s="46">
        <f t="shared" si="10"/>
        <v>3.6574670041198631E-2</v>
      </c>
      <c r="Z133" s="44">
        <v>14116.705805838663</v>
      </c>
      <c r="AA133" s="44">
        <v>40067.408342112809</v>
      </c>
      <c r="AB133" s="45">
        <f t="shared" si="11"/>
        <v>54184.11414795147</v>
      </c>
      <c r="AC133" s="46">
        <f t="shared" si="12"/>
        <v>2.7440299774215138E-2</v>
      </c>
      <c r="AD133" s="44">
        <v>14278.217730293793</v>
      </c>
      <c r="AE133" s="44">
        <v>41267.343735434188</v>
      </c>
      <c r="AF133" s="45">
        <f t="shared" si="13"/>
        <v>55545.56146572798</v>
      </c>
      <c r="AG133" s="46">
        <f t="shared" si="14"/>
        <v>2.5126318648654777E-2</v>
      </c>
    </row>
    <row r="134" spans="1:33" x14ac:dyDescent="0.3">
      <c r="A134" s="31" t="s">
        <v>316</v>
      </c>
      <c r="B134" s="31">
        <v>8256</v>
      </c>
      <c r="C134" s="32" t="s">
        <v>317</v>
      </c>
      <c r="D134" s="33">
        <v>30.176520446821563</v>
      </c>
      <c r="E134" s="33">
        <v>2.7007324027841282</v>
      </c>
      <c r="F134" s="33">
        <v>32.877252849605689</v>
      </c>
      <c r="G134" s="33">
        <v>31.13389736455067</v>
      </c>
      <c r="H134" s="33">
        <v>2.6869586675299293</v>
      </c>
      <c r="I134" s="33">
        <v>33.820856032080599</v>
      </c>
      <c r="J134" s="33">
        <v>32.550815202789757</v>
      </c>
      <c r="K134" s="33">
        <v>2.5999012067019596</v>
      </c>
      <c r="L134" s="34">
        <v>35.150716409491714</v>
      </c>
      <c r="M134" s="33">
        <v>32.129569358988945</v>
      </c>
      <c r="N134" s="33">
        <v>2.572602244031589</v>
      </c>
      <c r="O134" s="34">
        <v>34.702171603020531</v>
      </c>
      <c r="P134" s="33">
        <v>33.125241353427221</v>
      </c>
      <c r="Q134" s="33">
        <v>2.4347928817666409</v>
      </c>
      <c r="R134" s="34">
        <v>35.560034235193861</v>
      </c>
      <c r="S134" s="33">
        <v>33.415439904761435</v>
      </c>
      <c r="T134" s="33">
        <v>2.4165053912372141</v>
      </c>
      <c r="U134" s="34">
        <v>35.831945295998651</v>
      </c>
      <c r="V134" s="33">
        <v>33.875353927343717</v>
      </c>
      <c r="W134" s="33">
        <v>2.5284678813199943</v>
      </c>
      <c r="X134" s="34">
        <v>36.403821808663714</v>
      </c>
      <c r="Y134" s="35">
        <f t="shared" si="10"/>
        <v>1.5959962763420599E-2</v>
      </c>
      <c r="Z134" s="33">
        <v>33.906848337372935</v>
      </c>
      <c r="AA134" s="33">
        <v>2.6115436740302473</v>
      </c>
      <c r="AB134" s="34">
        <f t="shared" si="11"/>
        <v>36.518392011403179</v>
      </c>
      <c r="AC134" s="35">
        <f t="shared" si="12"/>
        <v>3.1472026025629596E-3</v>
      </c>
      <c r="AD134" s="33">
        <v>33.876675055127826</v>
      </c>
      <c r="AE134" s="33">
        <v>2.6897539655199463</v>
      </c>
      <c r="AF134" s="34">
        <f t="shared" si="13"/>
        <v>36.566429020647774</v>
      </c>
      <c r="AG134" s="35">
        <f t="shared" si="14"/>
        <v>1.3154196173148502E-3</v>
      </c>
    </row>
    <row r="135" spans="1:33" x14ac:dyDescent="0.3">
      <c r="A135" s="31" t="s">
        <v>318</v>
      </c>
      <c r="B135" s="31">
        <v>8259</v>
      </c>
      <c r="C135" s="32" t="s">
        <v>319</v>
      </c>
      <c r="D135" s="33">
        <v>1437.6309973562038</v>
      </c>
      <c r="E135" s="33">
        <v>2890.290886040033</v>
      </c>
      <c r="F135" s="33">
        <v>4327.9218833962368</v>
      </c>
      <c r="G135" s="33">
        <v>1529.0472170917815</v>
      </c>
      <c r="H135" s="33">
        <v>2875.550402521229</v>
      </c>
      <c r="I135" s="33">
        <v>4404.5976196130105</v>
      </c>
      <c r="J135" s="33">
        <v>1566.1462266543754</v>
      </c>
      <c r="K135" s="33">
        <v>2782.3825694795414</v>
      </c>
      <c r="L135" s="34">
        <v>4348.5287961339163</v>
      </c>
      <c r="M135" s="33">
        <v>1604.6652939992694</v>
      </c>
      <c r="N135" s="33">
        <v>2753.1675525000064</v>
      </c>
      <c r="O135" s="34">
        <v>4357.8328464992755</v>
      </c>
      <c r="P135" s="33">
        <v>1632.356420754124</v>
      </c>
      <c r="Q135" s="33">
        <v>2605.6856533845071</v>
      </c>
      <c r="R135" s="34">
        <v>4238.0420741386315</v>
      </c>
      <c r="S135" s="33">
        <v>1649.4593846398927</v>
      </c>
      <c r="T135" s="33">
        <v>2586.1146040086942</v>
      </c>
      <c r="U135" s="34">
        <v>4235.5739886485871</v>
      </c>
      <c r="V135" s="33">
        <v>1668.6637065863372</v>
      </c>
      <c r="W135" s="33">
        <v>2705.9354956790467</v>
      </c>
      <c r="X135" s="34">
        <v>4374.5992022653836</v>
      </c>
      <c r="Y135" s="35">
        <f t="shared" si="10"/>
        <v>3.2823228679132121E-2</v>
      </c>
      <c r="Z135" s="33">
        <v>1703.357436252764</v>
      </c>
      <c r="AA135" s="33">
        <v>2794.8421960516816</v>
      </c>
      <c r="AB135" s="34">
        <f t="shared" si="11"/>
        <v>4498.1996323044459</v>
      </c>
      <c r="AC135" s="35">
        <f t="shared" si="12"/>
        <v>2.8254115251302503E-2</v>
      </c>
      <c r="AD135" s="33">
        <v>1733.3003972274864</v>
      </c>
      <c r="AE135" s="33">
        <v>2878.5418963456391</v>
      </c>
      <c r="AF135" s="34">
        <f t="shared" si="13"/>
        <v>4611.8422935731251</v>
      </c>
      <c r="AG135" s="35">
        <f t="shared" si="14"/>
        <v>2.5264032403661707E-2</v>
      </c>
    </row>
    <row r="136" spans="1:33" x14ac:dyDescent="0.3">
      <c r="A136" s="42" t="s">
        <v>320</v>
      </c>
      <c r="B136" s="42">
        <v>8260</v>
      </c>
      <c r="C136" s="43" t="s">
        <v>321</v>
      </c>
      <c r="D136" s="44">
        <v>5415.2449233154493</v>
      </c>
      <c r="E136" s="44">
        <v>13741.874829542703</v>
      </c>
      <c r="F136" s="44">
        <v>19157.119752858154</v>
      </c>
      <c r="G136" s="44">
        <v>6086.0207336743815</v>
      </c>
      <c r="H136" s="44">
        <v>13671.791267912035</v>
      </c>
      <c r="I136" s="44">
        <v>19757.812001586415</v>
      </c>
      <c r="J136" s="44">
        <v>6266.9125318427914</v>
      </c>
      <c r="K136" s="44">
        <v>13228.825230831684</v>
      </c>
      <c r="L136" s="45">
        <v>19495.737762674475</v>
      </c>
      <c r="M136" s="44">
        <v>6302.6905776769308</v>
      </c>
      <c r="N136" s="44">
        <v>13089.922565907953</v>
      </c>
      <c r="O136" s="45">
        <v>19392.613143584884</v>
      </c>
      <c r="P136" s="44">
        <v>6406.5219694333482</v>
      </c>
      <c r="Q136" s="44">
        <v>12388.720549509815</v>
      </c>
      <c r="R136" s="45">
        <v>18795.242518943163</v>
      </c>
      <c r="S136" s="44">
        <v>6368.3313290548667</v>
      </c>
      <c r="T136" s="44">
        <v>12295.670084553432</v>
      </c>
      <c r="U136" s="45">
        <v>18664.001413608297</v>
      </c>
      <c r="V136" s="44">
        <v>6445.1818805951461</v>
      </c>
      <c r="W136" s="44">
        <v>12865.357967268283</v>
      </c>
      <c r="X136" s="45">
        <v>19310.539847863431</v>
      </c>
      <c r="Y136" s="46">
        <f t="shared" si="10"/>
        <v>3.4640933630862847E-2</v>
      </c>
      <c r="Z136" s="44">
        <v>6513.2953539490845</v>
      </c>
      <c r="AA136" s="44">
        <v>13288.064468516783</v>
      </c>
      <c r="AB136" s="45">
        <f t="shared" si="11"/>
        <v>19801.359822465867</v>
      </c>
      <c r="AC136" s="46">
        <f t="shared" si="12"/>
        <v>2.5417206275397897E-2</v>
      </c>
      <c r="AD136" s="44">
        <v>6567.300091711084</v>
      </c>
      <c r="AE136" s="44">
        <v>13686.014311650279</v>
      </c>
      <c r="AF136" s="45">
        <f t="shared" si="13"/>
        <v>20253.314403361364</v>
      </c>
      <c r="AG136" s="46">
        <f t="shared" si="14"/>
        <v>2.2824421400732708E-2</v>
      </c>
    </row>
    <row r="137" spans="1:33" x14ac:dyDescent="0.3">
      <c r="A137" s="31" t="s">
        <v>322</v>
      </c>
      <c r="B137" s="31">
        <v>8261</v>
      </c>
      <c r="C137" s="32" t="s">
        <v>323</v>
      </c>
      <c r="D137" s="33">
        <v>340.83768141914834</v>
      </c>
      <c r="E137" s="33">
        <v>1476.9722618757594</v>
      </c>
      <c r="F137" s="33">
        <v>1817.8099432949077</v>
      </c>
      <c r="G137" s="33">
        <v>361.71239480990937</v>
      </c>
      <c r="H137" s="33">
        <v>1469.4397033401931</v>
      </c>
      <c r="I137" s="33">
        <v>1831.1520981501026</v>
      </c>
      <c r="J137" s="33">
        <v>377.02051796313413</v>
      </c>
      <c r="K137" s="33">
        <v>1421.8298569519709</v>
      </c>
      <c r="L137" s="34">
        <v>1798.850374915105</v>
      </c>
      <c r="M137" s="33">
        <v>383.63084387020848</v>
      </c>
      <c r="N137" s="33">
        <v>1406.9006434539754</v>
      </c>
      <c r="O137" s="34">
        <v>1790.5314873241839</v>
      </c>
      <c r="P137" s="33">
        <v>387.10996276866865</v>
      </c>
      <c r="Q137" s="33">
        <v>1331.5356775349933</v>
      </c>
      <c r="R137" s="34">
        <v>1718.6456403036618</v>
      </c>
      <c r="S137" s="33">
        <v>391.58796651288009</v>
      </c>
      <c r="T137" s="33">
        <v>1321.5346436586142</v>
      </c>
      <c r="U137" s="34">
        <v>1713.1226101714942</v>
      </c>
      <c r="V137" s="33">
        <v>400.56287392080645</v>
      </c>
      <c r="W137" s="33">
        <v>1382.7645130275062</v>
      </c>
      <c r="X137" s="34">
        <v>1783.3273869483126</v>
      </c>
      <c r="Y137" s="35">
        <f t="shared" si="10"/>
        <v>4.0980590857878196E-2</v>
      </c>
      <c r="Z137" s="33">
        <v>407.8566628670896</v>
      </c>
      <c r="AA137" s="33">
        <v>1428.1968710574592</v>
      </c>
      <c r="AB137" s="34">
        <f t="shared" si="11"/>
        <v>1836.0535339245489</v>
      </c>
      <c r="AC137" s="35">
        <f t="shared" si="12"/>
        <v>2.9566162311039923E-2</v>
      </c>
      <c r="AD137" s="33">
        <v>415.96606413986518</v>
      </c>
      <c r="AE137" s="33">
        <v>1470.9683914807422</v>
      </c>
      <c r="AF137" s="34">
        <f t="shared" si="13"/>
        <v>1886.9344556206074</v>
      </c>
      <c r="AG137" s="35">
        <f t="shared" si="14"/>
        <v>2.7712112286454316E-2</v>
      </c>
    </row>
    <row r="138" spans="1:33" x14ac:dyDescent="0.3">
      <c r="A138" s="36" t="s">
        <v>324</v>
      </c>
      <c r="B138" s="36">
        <v>8263</v>
      </c>
      <c r="C138" s="37" t="s">
        <v>325</v>
      </c>
      <c r="D138" s="38">
        <v>8014.318827985132</v>
      </c>
      <c r="E138" s="38">
        <v>14481.391887722637</v>
      </c>
      <c r="F138" s="38">
        <v>22495.71071570777</v>
      </c>
      <c r="G138" s="38">
        <v>8145.4239363151755</v>
      </c>
      <c r="H138" s="38">
        <v>14407.536789095251</v>
      </c>
      <c r="I138" s="38">
        <v>22552.960725410427</v>
      </c>
      <c r="J138" s="38">
        <v>8216.6122304310375</v>
      </c>
      <c r="K138" s="38">
        <v>13940.732597128565</v>
      </c>
      <c r="L138" s="39">
        <v>22157.344827559602</v>
      </c>
      <c r="M138" s="38">
        <v>8312.4198095952997</v>
      </c>
      <c r="N138" s="38">
        <v>13794.354904858716</v>
      </c>
      <c r="O138" s="39">
        <v>22106.774714454015</v>
      </c>
      <c r="P138" s="38">
        <v>8330.2168831242652</v>
      </c>
      <c r="Q138" s="38">
        <v>13055.417800724092</v>
      </c>
      <c r="R138" s="39">
        <v>21385.634683848359</v>
      </c>
      <c r="S138" s="38">
        <v>8377.9208162576797</v>
      </c>
      <c r="T138" s="38">
        <v>12957.359838103788</v>
      </c>
      <c r="U138" s="39">
        <v>21335.280654361468</v>
      </c>
      <c r="V138" s="38">
        <v>8451.3725678273222</v>
      </c>
      <c r="W138" s="38">
        <v>13557.705393976914</v>
      </c>
      <c r="X138" s="39">
        <v>22009.077961804236</v>
      </c>
      <c r="Y138" s="40">
        <f t="shared" si="10"/>
        <v>3.15813660180293E-2</v>
      </c>
      <c r="Z138" s="38">
        <v>8541.4303151820204</v>
      </c>
      <c r="AA138" s="38">
        <v>14003.159786044851</v>
      </c>
      <c r="AB138" s="39">
        <f t="shared" si="11"/>
        <v>22544.590101226873</v>
      </c>
      <c r="AC138" s="40">
        <f t="shared" si="12"/>
        <v>2.4331420896049893E-2</v>
      </c>
      <c r="AD138" s="38">
        <v>8639.1204167927372</v>
      </c>
      <c r="AE138" s="38">
        <v>14422.525243928714</v>
      </c>
      <c r="AF138" s="39">
        <f t="shared" si="13"/>
        <v>23061.64566072145</v>
      </c>
      <c r="AG138" s="40">
        <f t="shared" si="14"/>
        <v>2.2934795317766099E-2</v>
      </c>
    </row>
    <row r="139" spans="1:33" x14ac:dyDescent="0.3">
      <c r="A139" s="31" t="s">
        <v>326</v>
      </c>
      <c r="B139" s="31">
        <v>8264</v>
      </c>
      <c r="C139" s="32" t="s">
        <v>327</v>
      </c>
      <c r="D139" s="33">
        <v>360.10921661314279</v>
      </c>
      <c r="E139" s="33">
        <v>1263.1881957437099</v>
      </c>
      <c r="F139" s="33">
        <v>1623.2974123568526</v>
      </c>
      <c r="G139" s="33">
        <v>381.67222217199497</v>
      </c>
      <c r="H139" s="33">
        <v>1256.7459359454169</v>
      </c>
      <c r="I139" s="33">
        <v>1638.4181581174118</v>
      </c>
      <c r="J139" s="33">
        <v>395.22811817479123</v>
      </c>
      <c r="K139" s="33">
        <v>1216.0273676207855</v>
      </c>
      <c r="L139" s="34">
        <v>1611.2554857955768</v>
      </c>
      <c r="M139" s="33">
        <v>405.6935508401624</v>
      </c>
      <c r="N139" s="33">
        <v>1203.2590802607674</v>
      </c>
      <c r="O139" s="34">
        <v>1608.9526311009299</v>
      </c>
      <c r="P139" s="33">
        <v>412.85780675873872</v>
      </c>
      <c r="Q139" s="33">
        <v>1138.8028018465875</v>
      </c>
      <c r="R139" s="34">
        <v>1551.6606086053262</v>
      </c>
      <c r="S139" s="33">
        <v>425.28521300396437</v>
      </c>
      <c r="T139" s="33">
        <v>1130.2493656961815</v>
      </c>
      <c r="U139" s="34">
        <v>1555.5345787001459</v>
      </c>
      <c r="V139" s="33">
        <v>431.76594825285599</v>
      </c>
      <c r="W139" s="33">
        <v>1182.6165293932747</v>
      </c>
      <c r="X139" s="34">
        <v>1614.3824776461306</v>
      </c>
      <c r="Y139" s="35">
        <f t="shared" si="10"/>
        <v>3.7831302339264017E-2</v>
      </c>
      <c r="Z139" s="33">
        <v>438.20158742360172</v>
      </c>
      <c r="AA139" s="33">
        <v>1221.4727894934838</v>
      </c>
      <c r="AB139" s="34">
        <f t="shared" si="11"/>
        <v>1659.6743769170855</v>
      </c>
      <c r="AC139" s="35">
        <f t="shared" si="12"/>
        <v>2.8055247066973488E-2</v>
      </c>
      <c r="AD139" s="33">
        <v>446.23430830807217</v>
      </c>
      <c r="AE139" s="33">
        <v>1258.0533544149168</v>
      </c>
      <c r="AF139" s="34">
        <f t="shared" si="13"/>
        <v>1704.2876627229889</v>
      </c>
      <c r="AG139" s="35">
        <f t="shared" si="14"/>
        <v>2.6880746263477473E-2</v>
      </c>
    </row>
    <row r="140" spans="1:33" x14ac:dyDescent="0.3">
      <c r="A140" s="42" t="s">
        <v>328</v>
      </c>
      <c r="B140" s="42">
        <v>8266</v>
      </c>
      <c r="C140" s="43" t="s">
        <v>329</v>
      </c>
      <c r="D140" s="44">
        <v>19108.296081614208</v>
      </c>
      <c r="E140" s="44">
        <v>56451.776649712963</v>
      </c>
      <c r="F140" s="44">
        <v>75560.072731327178</v>
      </c>
      <c r="G140" s="44">
        <v>19284.34863786228</v>
      </c>
      <c r="H140" s="44">
        <v>56163.87258879943</v>
      </c>
      <c r="I140" s="44">
        <v>75448.221226661713</v>
      </c>
      <c r="J140" s="44">
        <v>19368.088992332334</v>
      </c>
      <c r="K140" s="44">
        <v>54344.163116922326</v>
      </c>
      <c r="L140" s="45">
        <v>73712.252109254652</v>
      </c>
      <c r="M140" s="44">
        <v>19255.995604459029</v>
      </c>
      <c r="N140" s="44">
        <v>53773.549404194644</v>
      </c>
      <c r="O140" s="45">
        <v>73029.545008653673</v>
      </c>
      <c r="P140" s="44">
        <v>19086.207090474465</v>
      </c>
      <c r="Q140" s="44">
        <v>50893.003619354793</v>
      </c>
      <c r="R140" s="45">
        <v>69979.210709829262</v>
      </c>
      <c r="S140" s="44">
        <v>18981.781794526818</v>
      </c>
      <c r="T140" s="44">
        <v>50510.751260777281</v>
      </c>
      <c r="U140" s="45">
        <v>69492.533055304099</v>
      </c>
      <c r="V140" s="44">
        <v>19026.150183678252</v>
      </c>
      <c r="W140" s="44">
        <v>52851.035502482664</v>
      </c>
      <c r="X140" s="45">
        <v>71877.185686160912</v>
      </c>
      <c r="Y140" s="46">
        <f t="shared" si="10"/>
        <v>3.4315235407508249E-2</v>
      </c>
      <c r="Z140" s="44">
        <v>19188.257430858463</v>
      </c>
      <c r="AA140" s="44">
        <v>54587.518572868481</v>
      </c>
      <c r="AB140" s="45">
        <f t="shared" si="11"/>
        <v>73775.776003726947</v>
      </c>
      <c r="AC140" s="46">
        <f t="shared" si="12"/>
        <v>2.6414366386796173E-2</v>
      </c>
      <c r="AD140" s="44">
        <v>19354.43472345328</v>
      </c>
      <c r="AE140" s="44">
        <v>56222.301012748118</v>
      </c>
      <c r="AF140" s="45">
        <f t="shared" si="13"/>
        <v>75576.735736201401</v>
      </c>
      <c r="AG140" s="46">
        <f t="shared" si="14"/>
        <v>2.4411261121583872E-2</v>
      </c>
    </row>
    <row r="141" spans="1:33" x14ac:dyDescent="0.3">
      <c r="A141" s="31" t="s">
        <v>330</v>
      </c>
      <c r="B141" s="31">
        <v>8267</v>
      </c>
      <c r="C141" s="32" t="s">
        <v>331</v>
      </c>
      <c r="D141" s="33">
        <v>867.15301102493595</v>
      </c>
      <c r="E141" s="33">
        <v>3415.9891644045197</v>
      </c>
      <c r="F141" s="33">
        <v>4283.1421754294552</v>
      </c>
      <c r="G141" s="33">
        <v>918.15493593471149</v>
      </c>
      <c r="H141" s="33">
        <v>3398.5676196660565</v>
      </c>
      <c r="I141" s="33">
        <v>4316.7225556007679</v>
      </c>
      <c r="J141" s="33">
        <v>946.66308735833604</v>
      </c>
      <c r="K141" s="33">
        <v>3288.4540287888763</v>
      </c>
      <c r="L141" s="34">
        <v>4235.1171161472121</v>
      </c>
      <c r="M141" s="33">
        <v>975.77267657570803</v>
      </c>
      <c r="N141" s="33">
        <v>3253.9252614865932</v>
      </c>
      <c r="O141" s="34">
        <v>4229.6979380623015</v>
      </c>
      <c r="P141" s="33">
        <v>1024.9702881042417</v>
      </c>
      <c r="Q141" s="33">
        <v>3079.6187334628366</v>
      </c>
      <c r="R141" s="34">
        <v>4104.5890215670788</v>
      </c>
      <c r="S141" s="33">
        <v>1043.6701886889057</v>
      </c>
      <c r="T141" s="33">
        <v>3056.4880192061137</v>
      </c>
      <c r="U141" s="34">
        <v>4100.1582078950196</v>
      </c>
      <c r="V141" s="33">
        <v>1057.8256218173767</v>
      </c>
      <c r="W141" s="33">
        <v>3198.10243926056</v>
      </c>
      <c r="X141" s="34">
        <v>4255.9280610779369</v>
      </c>
      <c r="Y141" s="35">
        <f t="shared" si="10"/>
        <v>3.7991181141004748E-2</v>
      </c>
      <c r="Z141" s="33">
        <v>1077.1282824986386</v>
      </c>
      <c r="AA141" s="33">
        <v>3303.1798647137412</v>
      </c>
      <c r="AB141" s="34">
        <f t="shared" si="11"/>
        <v>4380.3081472123795</v>
      </c>
      <c r="AC141" s="35">
        <f t="shared" si="12"/>
        <v>2.9225138289330044E-2</v>
      </c>
      <c r="AD141" s="33">
        <v>1103.7587168966766</v>
      </c>
      <c r="AE141" s="33">
        <v>3402.1032189854623</v>
      </c>
      <c r="AF141" s="34">
        <f t="shared" si="13"/>
        <v>4505.8619358821388</v>
      </c>
      <c r="AG141" s="35">
        <f t="shared" si="14"/>
        <v>2.8663232003360628E-2</v>
      </c>
    </row>
    <row r="142" spans="1:33" x14ac:dyDescent="0.3">
      <c r="A142" s="31" t="s">
        <v>332</v>
      </c>
      <c r="B142" s="31">
        <v>8270</v>
      </c>
      <c r="C142" s="32" t="s">
        <v>333</v>
      </c>
      <c r="D142" s="33">
        <v>9491.9482676349016</v>
      </c>
      <c r="E142" s="33">
        <v>19661.205929949458</v>
      </c>
      <c r="F142" s="33">
        <v>29153.154197584357</v>
      </c>
      <c r="G142" s="33">
        <v>10020.553763547179</v>
      </c>
      <c r="H142" s="33">
        <v>19560.933779706716</v>
      </c>
      <c r="I142" s="33">
        <v>29581.487543253897</v>
      </c>
      <c r="J142" s="33">
        <v>10241.916569258343</v>
      </c>
      <c r="K142" s="33">
        <v>18927.15952524422</v>
      </c>
      <c r="L142" s="34">
        <v>29169.076094502561</v>
      </c>
      <c r="M142" s="33">
        <v>10412.935994406433</v>
      </c>
      <c r="N142" s="33">
        <v>18728.424350229157</v>
      </c>
      <c r="O142" s="34">
        <v>29141.360344635592</v>
      </c>
      <c r="P142" s="33">
        <v>10749.422265964038</v>
      </c>
      <c r="Q142" s="33">
        <v>17725.178620377144</v>
      </c>
      <c r="R142" s="34">
        <v>28474.600886341184</v>
      </c>
      <c r="S142" s="33">
        <v>10905.156194138957</v>
      </c>
      <c r="T142" s="33">
        <v>17592.046542252556</v>
      </c>
      <c r="U142" s="34">
        <v>28497.202736391511</v>
      </c>
      <c r="V142" s="33">
        <v>11011.412434771737</v>
      </c>
      <c r="W142" s="33">
        <v>18407.128248118035</v>
      </c>
      <c r="X142" s="34">
        <v>29418.540682889772</v>
      </c>
      <c r="Y142" s="35">
        <f t="shared" si="10"/>
        <v>3.2330820502662672E-2</v>
      </c>
      <c r="Z142" s="33">
        <v>11143.93897938316</v>
      </c>
      <c r="AA142" s="33">
        <v>19011.916144388793</v>
      </c>
      <c r="AB142" s="34">
        <f t="shared" si="11"/>
        <v>30155.855123771951</v>
      </c>
      <c r="AC142" s="35">
        <f t="shared" si="12"/>
        <v>2.5062916914536437E-2</v>
      </c>
      <c r="AD142" s="33">
        <v>11305.862713644854</v>
      </c>
      <c r="AE142" s="33">
        <v>19581.283418701183</v>
      </c>
      <c r="AF142" s="34">
        <f t="shared" si="13"/>
        <v>30887.146132346039</v>
      </c>
      <c r="AG142" s="35">
        <f t="shared" si="14"/>
        <v>2.4250382075804877E-2</v>
      </c>
    </row>
    <row r="143" spans="1:33" x14ac:dyDescent="0.3">
      <c r="A143" s="31" t="s">
        <v>334</v>
      </c>
      <c r="B143" s="31">
        <v>8273</v>
      </c>
      <c r="C143" s="32" t="s">
        <v>335</v>
      </c>
      <c r="D143" s="33">
        <v>1504.0250009227034</v>
      </c>
      <c r="E143" s="33">
        <v>3185.9625624247255</v>
      </c>
      <c r="F143" s="33">
        <v>4689.9875633474294</v>
      </c>
      <c r="G143" s="33">
        <v>1559.729630586507</v>
      </c>
      <c r="H143" s="33">
        <v>3169.7141533563595</v>
      </c>
      <c r="I143" s="33">
        <v>4729.4437839428665</v>
      </c>
      <c r="J143" s="33">
        <v>1583.7490580562205</v>
      </c>
      <c r="K143" s="33">
        <v>3067.0154147876133</v>
      </c>
      <c r="L143" s="34">
        <v>4650.7644728438336</v>
      </c>
      <c r="M143" s="33">
        <v>1571.9948701455096</v>
      </c>
      <c r="N143" s="33">
        <v>3034.8117529323436</v>
      </c>
      <c r="O143" s="34">
        <v>4606.8066230778531</v>
      </c>
      <c r="P143" s="33">
        <v>1571.9948701455096</v>
      </c>
      <c r="Q143" s="33">
        <v>2872.2427148169281</v>
      </c>
      <c r="R143" s="34">
        <v>4444.2375849624377</v>
      </c>
      <c r="S143" s="33">
        <v>1577.3327222512082</v>
      </c>
      <c r="T143" s="33">
        <v>2850.6695814967266</v>
      </c>
      <c r="U143" s="34">
        <v>4428.002303747935</v>
      </c>
      <c r="V143" s="33">
        <v>1599.7904986942558</v>
      </c>
      <c r="W143" s="33">
        <v>2982.7479397346119</v>
      </c>
      <c r="X143" s="34">
        <v>4582.5384384288682</v>
      </c>
      <c r="Y143" s="35">
        <f t="shared" si="10"/>
        <v>3.4899741255809857E-2</v>
      </c>
      <c r="Z143" s="33">
        <v>1612.4259845367149</v>
      </c>
      <c r="AA143" s="33">
        <v>3080.7496392535177</v>
      </c>
      <c r="AB143" s="34">
        <f t="shared" si="11"/>
        <v>4693.1756237902327</v>
      </c>
      <c r="AC143" s="35">
        <f t="shared" si="12"/>
        <v>2.4143209456481296E-2</v>
      </c>
      <c r="AD143" s="33">
        <v>1623.0554013188221</v>
      </c>
      <c r="AE143" s="33">
        <v>3173.01167173983</v>
      </c>
      <c r="AF143" s="34">
        <f t="shared" si="13"/>
        <v>4796.0670730586517</v>
      </c>
      <c r="AG143" s="35">
        <f t="shared" si="14"/>
        <v>2.1923630717514797E-2</v>
      </c>
    </row>
    <row r="144" spans="1:33" x14ac:dyDescent="0.3">
      <c r="A144" s="31" t="s">
        <v>336</v>
      </c>
      <c r="B144" s="31">
        <v>8276</v>
      </c>
      <c r="C144" s="32" t="s">
        <v>337</v>
      </c>
      <c r="D144" s="33">
        <v>62.87291882640838</v>
      </c>
      <c r="E144" s="33">
        <v>67.592168407847865</v>
      </c>
      <c r="F144" s="33">
        <v>130.46508723425626</v>
      </c>
      <c r="G144" s="33">
        <v>67.554944696460069</v>
      </c>
      <c r="H144" s="33">
        <v>67.247448348967836</v>
      </c>
      <c r="I144" s="33">
        <v>134.80239304542789</v>
      </c>
      <c r="J144" s="33">
        <v>68.669712760758102</v>
      </c>
      <c r="K144" s="33">
        <v>65.068631022461275</v>
      </c>
      <c r="L144" s="34">
        <v>133.73834378321936</v>
      </c>
      <c r="M144" s="33">
        <v>68.223805535038892</v>
      </c>
      <c r="N144" s="33">
        <v>64.385410396725433</v>
      </c>
      <c r="O144" s="34">
        <v>132.60921593176431</v>
      </c>
      <c r="P144" s="33">
        <v>71.791063340792562</v>
      </c>
      <c r="Q144" s="33">
        <v>60.936407595563793</v>
      </c>
      <c r="R144" s="34">
        <v>132.72747093635635</v>
      </c>
      <c r="S144" s="33">
        <v>72.846836008336169</v>
      </c>
      <c r="T144" s="33">
        <v>60.478720214782314</v>
      </c>
      <c r="U144" s="34">
        <v>133.3255562231185</v>
      </c>
      <c r="V144" s="33">
        <v>72.517303772943109</v>
      </c>
      <c r="W144" s="33">
        <v>63.280844363489457</v>
      </c>
      <c r="X144" s="34">
        <v>135.79814813643256</v>
      </c>
      <c r="Y144" s="35">
        <f t="shared" si="10"/>
        <v>1.8545521079066152E-2</v>
      </c>
      <c r="Z144" s="33">
        <v>71.649043890916943</v>
      </c>
      <c r="AA144" s="33">
        <v>65.360011098297477</v>
      </c>
      <c r="AB144" s="34">
        <f t="shared" si="11"/>
        <v>137.00905498921441</v>
      </c>
      <c r="AC144" s="35">
        <f t="shared" si="12"/>
        <v>8.9169614563910926E-3</v>
      </c>
      <c r="AD144" s="33">
        <v>73.377751784445138</v>
      </c>
      <c r="AE144" s="33">
        <v>67.317407243190971</v>
      </c>
      <c r="AF144" s="34">
        <f t="shared" si="13"/>
        <v>140.69515902763612</v>
      </c>
      <c r="AG144" s="35">
        <f t="shared" si="14"/>
        <v>2.690409067277999E-2</v>
      </c>
    </row>
    <row r="145" spans="1:33" x14ac:dyDescent="0.3">
      <c r="A145" s="42" t="s">
        <v>338</v>
      </c>
      <c r="B145" s="42">
        <v>8279</v>
      </c>
      <c r="C145" s="43" t="s">
        <v>339</v>
      </c>
      <c r="D145" s="44">
        <v>211272.60262809458</v>
      </c>
      <c r="E145" s="44">
        <v>207145.40120611628</v>
      </c>
      <c r="F145" s="44">
        <v>418418.00383421086</v>
      </c>
      <c r="G145" s="44">
        <v>218069.12289260357</v>
      </c>
      <c r="H145" s="44">
        <v>206088.9596599651</v>
      </c>
      <c r="I145" s="44">
        <v>424158.08255256864</v>
      </c>
      <c r="J145" s="44">
        <v>223034.34678217021</v>
      </c>
      <c r="K145" s="44">
        <v>199411.67736698224</v>
      </c>
      <c r="L145" s="45">
        <v>422446.02414915245</v>
      </c>
      <c r="M145" s="44">
        <v>224919.56701110912</v>
      </c>
      <c r="N145" s="44">
        <v>197317.85475462893</v>
      </c>
      <c r="O145" s="45">
        <v>422237.42176573805</v>
      </c>
      <c r="P145" s="44">
        <v>228042.92122102814</v>
      </c>
      <c r="Q145" s="44">
        <v>186747.9161680057</v>
      </c>
      <c r="R145" s="45">
        <v>414790.83738903387</v>
      </c>
      <c r="S145" s="44">
        <v>227446.96660939863</v>
      </c>
      <c r="T145" s="44">
        <v>185345.27088598293</v>
      </c>
      <c r="U145" s="45">
        <v>412792.23749538156</v>
      </c>
      <c r="V145" s="44">
        <v>229125.11207381779</v>
      </c>
      <c r="W145" s="44">
        <v>193932.76178449797</v>
      </c>
      <c r="X145" s="45">
        <v>423057.87385831575</v>
      </c>
      <c r="Y145" s="46">
        <f t="shared" si="10"/>
        <v>2.4868772788027682E-2</v>
      </c>
      <c r="Z145" s="44">
        <v>232089.32886114169</v>
      </c>
      <c r="AA145" s="44">
        <v>200304.65127408286</v>
      </c>
      <c r="AB145" s="45">
        <f t="shared" si="11"/>
        <v>432393.98013522453</v>
      </c>
      <c r="AC145" s="46">
        <f t="shared" si="12"/>
        <v>2.2068153918902045E-2</v>
      </c>
      <c r="AD145" s="44">
        <v>235490.92189491386</v>
      </c>
      <c r="AE145" s="44">
        <v>206303.35821460752</v>
      </c>
      <c r="AF145" s="45">
        <f t="shared" si="13"/>
        <v>441794.28010952135</v>
      </c>
      <c r="AG145" s="46">
        <f t="shared" si="14"/>
        <v>2.1740126843017071E-2</v>
      </c>
    </row>
    <row r="146" spans="1:33" x14ac:dyDescent="0.3">
      <c r="A146" s="31" t="s">
        <v>340</v>
      </c>
      <c r="B146" s="31">
        <v>8281</v>
      </c>
      <c r="C146" s="32" t="s">
        <v>341</v>
      </c>
      <c r="D146" s="33">
        <v>514.63764996742145</v>
      </c>
      <c r="E146" s="33">
        <v>1474.3372032169066</v>
      </c>
      <c r="F146" s="33">
        <v>1988.9748531843279</v>
      </c>
      <c r="G146" s="33">
        <v>525.16373109850895</v>
      </c>
      <c r="H146" s="33">
        <v>1466.8180834805003</v>
      </c>
      <c r="I146" s="33">
        <v>1991.9818145790091</v>
      </c>
      <c r="J146" s="33">
        <v>533.93546537441523</v>
      </c>
      <c r="K146" s="33">
        <v>1419.293177575732</v>
      </c>
      <c r="L146" s="34">
        <v>1953.2286429501473</v>
      </c>
      <c r="M146" s="33">
        <v>533.40916131786082</v>
      </c>
      <c r="N146" s="33">
        <v>1404.3905992111868</v>
      </c>
      <c r="O146" s="34">
        <v>1937.7997605290475</v>
      </c>
      <c r="P146" s="33">
        <v>539.81252733927249</v>
      </c>
      <c r="Q146" s="33">
        <v>1329.1600915424679</v>
      </c>
      <c r="R146" s="34">
        <v>1868.9726188817403</v>
      </c>
      <c r="S146" s="33">
        <v>540.8103365729005</v>
      </c>
      <c r="T146" s="33">
        <v>1319.1769004594801</v>
      </c>
      <c r="U146" s="34">
        <v>1859.9872370323806</v>
      </c>
      <c r="V146" s="33">
        <v>546.14471871526666</v>
      </c>
      <c r="W146" s="33">
        <v>1380.297529931574</v>
      </c>
      <c r="X146" s="34">
        <v>1926.4422486468407</v>
      </c>
      <c r="Y146" s="35">
        <f t="shared" si="10"/>
        <v>3.5728746031875591E-2</v>
      </c>
      <c r="Z146" s="33">
        <v>551.21080733011706</v>
      </c>
      <c r="AA146" s="33">
        <v>1425.6488323239168</v>
      </c>
      <c r="AB146" s="34">
        <f t="shared" si="11"/>
        <v>1976.8596396540338</v>
      </c>
      <c r="AC146" s="35">
        <f t="shared" si="12"/>
        <v>2.6171244449506359E-2</v>
      </c>
      <c r="AD146" s="33">
        <v>556.28217999959827</v>
      </c>
      <c r="AE146" s="33">
        <v>1468.3440442963554</v>
      </c>
      <c r="AF146" s="34">
        <f t="shared" si="13"/>
        <v>2024.6262242959538</v>
      </c>
      <c r="AG146" s="35">
        <f t="shared" si="14"/>
        <v>2.4162860975946332E-2</v>
      </c>
    </row>
    <row r="147" spans="1:33" x14ac:dyDescent="0.3">
      <c r="A147" s="31" t="s">
        <v>342</v>
      </c>
      <c r="B147" s="31">
        <v>8282</v>
      </c>
      <c r="C147" s="32" t="s">
        <v>343</v>
      </c>
      <c r="D147" s="33">
        <v>961.33812699980126</v>
      </c>
      <c r="E147" s="33">
        <v>2766.6947967147858</v>
      </c>
      <c r="F147" s="33">
        <v>3728.032923714587</v>
      </c>
      <c r="G147" s="33">
        <v>987.6581304768664</v>
      </c>
      <c r="H147" s="33">
        <v>2752.5846532515402</v>
      </c>
      <c r="I147" s="33">
        <v>3740.2427837284067</v>
      </c>
      <c r="J147" s="33">
        <v>998.844131954619</v>
      </c>
      <c r="K147" s="33">
        <v>2663.4009104861902</v>
      </c>
      <c r="L147" s="34">
        <v>3662.2450424408094</v>
      </c>
      <c r="M147" s="33">
        <v>1023.0585351535188</v>
      </c>
      <c r="N147" s="33">
        <v>2635.4352009260851</v>
      </c>
      <c r="O147" s="34">
        <v>3658.4937360796039</v>
      </c>
      <c r="P147" s="33">
        <v>1072.6717417077866</v>
      </c>
      <c r="Q147" s="33">
        <v>2494.2599978130465</v>
      </c>
      <c r="R147" s="34">
        <v>3566.9317395208332</v>
      </c>
      <c r="S147" s="33">
        <v>1094.8494823258163</v>
      </c>
      <c r="T147" s="33">
        <v>2475.5258556075551</v>
      </c>
      <c r="U147" s="34">
        <v>3570.3753379333712</v>
      </c>
      <c r="V147" s="33">
        <v>1110.4468308652279</v>
      </c>
      <c r="W147" s="33">
        <v>2590.2229053485539</v>
      </c>
      <c r="X147" s="34">
        <v>3700.669736213782</v>
      </c>
      <c r="Y147" s="35">
        <f t="shared" si="10"/>
        <v>3.6493193557579406E-2</v>
      </c>
      <c r="Z147" s="33">
        <v>1128.3645716026438</v>
      </c>
      <c r="AA147" s="33">
        <v>2675.327732167927</v>
      </c>
      <c r="AB147" s="34">
        <f t="shared" si="11"/>
        <v>3803.692303770571</v>
      </c>
      <c r="AC147" s="35">
        <f t="shared" si="12"/>
        <v>2.7838898064487472E-2</v>
      </c>
      <c r="AD147" s="33">
        <v>1148.65816008763</v>
      </c>
      <c r="AE147" s="33">
        <v>2755.4482232950863</v>
      </c>
      <c r="AF147" s="34">
        <f t="shared" si="13"/>
        <v>3904.1063833827166</v>
      </c>
      <c r="AG147" s="35">
        <f t="shared" si="14"/>
        <v>2.6399106865875099E-2</v>
      </c>
    </row>
    <row r="148" spans="1:33" x14ac:dyDescent="0.3">
      <c r="A148" s="31" t="s">
        <v>344</v>
      </c>
      <c r="B148" s="31">
        <v>8284</v>
      </c>
      <c r="C148" s="32" t="s">
        <v>345</v>
      </c>
      <c r="D148" s="33">
        <v>8306.6859546502801</v>
      </c>
      <c r="E148" s="33">
        <v>13365.013287034306</v>
      </c>
      <c r="F148" s="33">
        <v>21671.699241684586</v>
      </c>
      <c r="G148" s="33">
        <v>9160.8757174980728</v>
      </c>
      <c r="H148" s="33">
        <v>13296.851719270431</v>
      </c>
      <c r="I148" s="33">
        <v>22457.727436768502</v>
      </c>
      <c r="J148" s="33">
        <v>9498.2187760140478</v>
      </c>
      <c r="K148" s="33">
        <v>12866.03372356607</v>
      </c>
      <c r="L148" s="34">
        <v>22364.252499580118</v>
      </c>
      <c r="M148" s="33">
        <v>9681.4362903640085</v>
      </c>
      <c r="N148" s="33">
        <v>12730.940369468626</v>
      </c>
      <c r="O148" s="34">
        <v>22412.376659832633</v>
      </c>
      <c r="P148" s="33">
        <v>10100.484456630642</v>
      </c>
      <c r="Q148" s="33">
        <v>12048.968340010966</v>
      </c>
      <c r="R148" s="34">
        <v>22149.452796641606</v>
      </c>
      <c r="S148" s="33">
        <v>10186.568668389738</v>
      </c>
      <c r="T148" s="33">
        <v>11958.469720577088</v>
      </c>
      <c r="U148" s="34">
        <v>22145.038388966826</v>
      </c>
      <c r="V148" s="33">
        <v>10293.647161040808</v>
      </c>
      <c r="W148" s="33">
        <v>12512.534301748927</v>
      </c>
      <c r="X148" s="34">
        <v>22806.181462789733</v>
      </c>
      <c r="Y148" s="35">
        <f t="shared" si="10"/>
        <v>2.9855133335524142E-2</v>
      </c>
      <c r="Z148" s="33">
        <v>10455.704178856919</v>
      </c>
      <c r="AA148" s="33">
        <v>12923.648365570594</v>
      </c>
      <c r="AB148" s="34">
        <f t="shared" si="11"/>
        <v>23379.352544427515</v>
      </c>
      <c r="AC148" s="35">
        <f t="shared" si="12"/>
        <v>2.5132268747969144E-2</v>
      </c>
      <c r="AD148" s="33">
        <v>10679.922598733558</v>
      </c>
      <c r="AE148" s="33">
        <v>13310.684705737096</v>
      </c>
      <c r="AF148" s="34">
        <f t="shared" si="13"/>
        <v>23990.607304470654</v>
      </c>
      <c r="AG148" s="35">
        <f t="shared" si="14"/>
        <v>2.6145067913304176E-2</v>
      </c>
    </row>
    <row r="149" spans="1:33" x14ac:dyDescent="0.3">
      <c r="A149" s="31" t="s">
        <v>346</v>
      </c>
      <c r="B149" s="31">
        <v>8287</v>
      </c>
      <c r="C149" s="32" t="s">
        <v>347</v>
      </c>
      <c r="D149" s="33">
        <v>35.541312319422445</v>
      </c>
      <c r="E149" s="33">
        <v>312.52600670436226</v>
      </c>
      <c r="F149" s="33">
        <v>348.06731902378471</v>
      </c>
      <c r="G149" s="33">
        <v>37.214523451343304</v>
      </c>
      <c r="H149" s="33">
        <v>310.93212407017</v>
      </c>
      <c r="I149" s="33">
        <v>348.14664752151333</v>
      </c>
      <c r="J149" s="33">
        <v>39.580097810265904</v>
      </c>
      <c r="K149" s="33">
        <v>300.85792325029649</v>
      </c>
      <c r="L149" s="34">
        <v>340.43802106056239</v>
      </c>
      <c r="M149" s="33">
        <v>39.897430955975032</v>
      </c>
      <c r="N149" s="33">
        <v>297.6989150561684</v>
      </c>
      <c r="O149" s="34">
        <v>337.59634601214344</v>
      </c>
      <c r="P149" s="33">
        <v>40.157067166100688</v>
      </c>
      <c r="Q149" s="33">
        <v>281.75175582234721</v>
      </c>
      <c r="R149" s="34">
        <v>321.90882298844792</v>
      </c>
      <c r="S149" s="33">
        <v>41.026750507490213</v>
      </c>
      <c r="T149" s="33">
        <v>279.63554601869771</v>
      </c>
      <c r="U149" s="34">
        <v>320.6622965261879</v>
      </c>
      <c r="V149" s="33">
        <v>40.859322341321793</v>
      </c>
      <c r="W149" s="33">
        <v>292.59173149274778</v>
      </c>
      <c r="X149" s="34">
        <v>333.45105383406957</v>
      </c>
      <c r="Y149" s="35">
        <f t="shared" si="10"/>
        <v>3.9882323074540871E-2</v>
      </c>
      <c r="Z149" s="33">
        <v>41.461881447978513</v>
      </c>
      <c r="AA149" s="33">
        <v>302.20517772783927</v>
      </c>
      <c r="AB149" s="34">
        <f t="shared" si="11"/>
        <v>343.66705917581777</v>
      </c>
      <c r="AC149" s="35">
        <f t="shared" si="12"/>
        <v>3.0637196147029755E-2</v>
      </c>
      <c r="AD149" s="33">
        <v>42.006335459047975</v>
      </c>
      <c r="AE149" s="33">
        <v>311.2555931104452</v>
      </c>
      <c r="AF149" s="34">
        <f t="shared" si="13"/>
        <v>353.26192856949319</v>
      </c>
      <c r="AG149" s="35">
        <f t="shared" si="14"/>
        <v>2.7919083710512771E-2</v>
      </c>
    </row>
    <row r="150" spans="1:33" x14ac:dyDescent="0.3">
      <c r="A150" s="31" t="s">
        <v>348</v>
      </c>
      <c r="B150" s="31">
        <v>8288</v>
      </c>
      <c r="C150" s="32" t="s">
        <v>349</v>
      </c>
      <c r="D150" s="33">
        <v>772.31136167861325</v>
      </c>
      <c r="E150" s="33">
        <v>2244.1799100881299</v>
      </c>
      <c r="F150" s="33">
        <v>3016.491271766743</v>
      </c>
      <c r="G150" s="33">
        <v>834.04139946820044</v>
      </c>
      <c r="H150" s="33">
        <v>2232.7345925466802</v>
      </c>
      <c r="I150" s="33">
        <v>3066.7759920148806</v>
      </c>
      <c r="J150" s="33">
        <v>844.67268375418485</v>
      </c>
      <c r="K150" s="33">
        <v>2160.393991748168</v>
      </c>
      <c r="L150" s="34">
        <v>3005.0666755023531</v>
      </c>
      <c r="M150" s="33">
        <v>872.79414541388576</v>
      </c>
      <c r="N150" s="33">
        <v>2137.7098548348122</v>
      </c>
      <c r="O150" s="34">
        <v>3010.504000248698</v>
      </c>
      <c r="P150" s="33">
        <v>825.12483845414897</v>
      </c>
      <c r="Q150" s="33">
        <v>2023.1968427725158</v>
      </c>
      <c r="R150" s="34">
        <v>2848.3216812266646</v>
      </c>
      <c r="S150" s="33">
        <v>823.17221908711394</v>
      </c>
      <c r="T150" s="33">
        <v>2008.0008097224591</v>
      </c>
      <c r="U150" s="34">
        <v>2831.1730288095732</v>
      </c>
      <c r="V150" s="33">
        <v>826.15600899104868</v>
      </c>
      <c r="W150" s="33">
        <v>2101.0363028606143</v>
      </c>
      <c r="X150" s="34">
        <v>2927.1923118516629</v>
      </c>
      <c r="Y150" s="35">
        <f t="shared" si="10"/>
        <v>3.3915017579290385E-2</v>
      </c>
      <c r="Z150" s="33">
        <v>828.64446839382981</v>
      </c>
      <c r="AA150" s="33">
        <v>2170.0683272191927</v>
      </c>
      <c r="AB150" s="34">
        <f t="shared" si="11"/>
        <v>2998.7127956130225</v>
      </c>
      <c r="AC150" s="35">
        <f t="shared" si="12"/>
        <v>2.4433134601982376E-2</v>
      </c>
      <c r="AD150" s="33">
        <v>847.14629338537452</v>
      </c>
      <c r="AE150" s="33">
        <v>2235.0573519527729</v>
      </c>
      <c r="AF150" s="34">
        <f t="shared" si="13"/>
        <v>3082.2036453381475</v>
      </c>
      <c r="AG150" s="35">
        <f t="shared" si="14"/>
        <v>2.7842229455007583E-2</v>
      </c>
    </row>
    <row r="151" spans="1:33" x14ac:dyDescent="0.3">
      <c r="A151" s="31" t="s">
        <v>350</v>
      </c>
      <c r="B151" s="31">
        <v>8289</v>
      </c>
      <c r="C151" s="32" t="s">
        <v>351</v>
      </c>
      <c r="D151" s="33">
        <v>1100.469713762109</v>
      </c>
      <c r="E151" s="33">
        <v>2166.4480487685801</v>
      </c>
      <c r="F151" s="33">
        <v>3266.9177625306893</v>
      </c>
      <c r="G151" s="33">
        <v>1179.0261817060407</v>
      </c>
      <c r="H151" s="33">
        <v>2155.3991637198601</v>
      </c>
      <c r="I151" s="33">
        <v>3334.4253454259006</v>
      </c>
      <c r="J151" s="33">
        <v>1229.2842101889019</v>
      </c>
      <c r="K151" s="33">
        <v>2085.5642308153365</v>
      </c>
      <c r="L151" s="34">
        <v>3314.8484410042383</v>
      </c>
      <c r="M151" s="33">
        <v>1251.0174116950041</v>
      </c>
      <c r="N151" s="33">
        <v>2063.6658063917757</v>
      </c>
      <c r="O151" s="34">
        <v>3314.6832180867796</v>
      </c>
      <c r="P151" s="33">
        <v>1299.4643400523566</v>
      </c>
      <c r="Q151" s="33">
        <v>1953.1191918241263</v>
      </c>
      <c r="R151" s="34">
        <v>3252.583531876483</v>
      </c>
      <c r="S151" s="33">
        <v>1320.9860833794353</v>
      </c>
      <c r="T151" s="33">
        <v>1938.4495051370973</v>
      </c>
      <c r="U151" s="34">
        <v>3259.4355885165323</v>
      </c>
      <c r="V151" s="33">
        <v>1333.3363381098288</v>
      </c>
      <c r="W151" s="33">
        <v>2028.2625195346213</v>
      </c>
      <c r="X151" s="34">
        <v>3361.5988576444502</v>
      </c>
      <c r="Y151" s="35">
        <f t="shared" si="10"/>
        <v>3.1343852747958589E-2</v>
      </c>
      <c r="Z151" s="33">
        <v>1357.2921748513706</v>
      </c>
      <c r="AA151" s="33">
        <v>2094.9034754588342</v>
      </c>
      <c r="AB151" s="34">
        <f t="shared" si="11"/>
        <v>3452.1956503102047</v>
      </c>
      <c r="AC151" s="35">
        <f t="shared" si="12"/>
        <v>2.6950506738700364E-2</v>
      </c>
      <c r="AD151" s="33">
        <v>1383.8487862818226</v>
      </c>
      <c r="AE151" s="33">
        <v>2157.6414694995656</v>
      </c>
      <c r="AF151" s="34">
        <f t="shared" si="13"/>
        <v>3541.4902557813884</v>
      </c>
      <c r="AG151" s="35">
        <f t="shared" si="14"/>
        <v>2.5866032669139116E-2</v>
      </c>
    </row>
    <row r="152" spans="1:33" x14ac:dyDescent="0.3">
      <c r="A152" s="31" t="s">
        <v>352</v>
      </c>
      <c r="B152" s="31">
        <v>8290</v>
      </c>
      <c r="C152" s="32" t="s">
        <v>353</v>
      </c>
      <c r="D152" s="33">
        <v>288.78800300371597</v>
      </c>
      <c r="E152" s="33">
        <v>1365.6356559249598</v>
      </c>
      <c r="F152" s="33">
        <v>1654.4236589286756</v>
      </c>
      <c r="G152" s="33">
        <v>332.6067189598063</v>
      </c>
      <c r="H152" s="33">
        <v>1358.6709140797425</v>
      </c>
      <c r="I152" s="33">
        <v>1691.2776330395488</v>
      </c>
      <c r="J152" s="33">
        <v>352.06071785410501</v>
      </c>
      <c r="K152" s="33">
        <v>1314.6499764635589</v>
      </c>
      <c r="L152" s="34">
        <v>1666.7106943176639</v>
      </c>
      <c r="M152" s="33">
        <v>357.3491835729435</v>
      </c>
      <c r="N152" s="33">
        <v>1300.8461517106916</v>
      </c>
      <c r="O152" s="34">
        <v>1658.1953352836351</v>
      </c>
      <c r="P152" s="33">
        <v>374.15894960782293</v>
      </c>
      <c r="Q152" s="33">
        <v>1231.1623212670372</v>
      </c>
      <c r="R152" s="34">
        <v>1605.3212708748601</v>
      </c>
      <c r="S152" s="33">
        <v>385.12590727363948</v>
      </c>
      <c r="T152" s="33">
        <v>1221.9151818249252</v>
      </c>
      <c r="U152" s="34">
        <v>1607.0410890985647</v>
      </c>
      <c r="V152" s="33">
        <v>391.41084963334237</v>
      </c>
      <c r="W152" s="33">
        <v>1278.5294426178746</v>
      </c>
      <c r="X152" s="34">
        <v>1669.940292251217</v>
      </c>
      <c r="Y152" s="35">
        <f t="shared" si="10"/>
        <v>3.9139760382812749E-2</v>
      </c>
      <c r="Z152" s="33">
        <v>397.01415415334196</v>
      </c>
      <c r="AA152" s="33">
        <v>1320.5370345408646</v>
      </c>
      <c r="AB152" s="34">
        <f t="shared" si="11"/>
        <v>1717.5511886942065</v>
      </c>
      <c r="AC152" s="35">
        <f t="shared" si="12"/>
        <v>2.8510538169485233E-2</v>
      </c>
      <c r="AD152" s="33">
        <v>402.49863574185844</v>
      </c>
      <c r="AE152" s="33">
        <v>1360.0843671860807</v>
      </c>
      <c r="AF152" s="34">
        <f t="shared" si="13"/>
        <v>1762.5830029279391</v>
      </c>
      <c r="AG152" s="35">
        <f t="shared" si="14"/>
        <v>2.6218615509194132E-2</v>
      </c>
    </row>
    <row r="153" spans="1:33" x14ac:dyDescent="0.3">
      <c r="A153" s="31" t="s">
        <v>354</v>
      </c>
      <c r="B153" s="31">
        <v>8291</v>
      </c>
      <c r="C153" s="32" t="s">
        <v>355</v>
      </c>
      <c r="D153" s="33">
        <v>1558.5811131714836</v>
      </c>
      <c r="E153" s="33">
        <v>4558.154203472729</v>
      </c>
      <c r="F153" s="33">
        <v>6116.7353166442126</v>
      </c>
      <c r="G153" s="33">
        <v>1770.614232807887</v>
      </c>
      <c r="H153" s="33">
        <v>4534.9076170350181</v>
      </c>
      <c r="I153" s="33">
        <v>6305.5218498429049</v>
      </c>
      <c r="J153" s="33">
        <v>1796.6211811038384</v>
      </c>
      <c r="K153" s="33">
        <v>4387.976610243084</v>
      </c>
      <c r="L153" s="34">
        <v>6184.5977913469223</v>
      </c>
      <c r="M153" s="33">
        <v>1840.9859752557552</v>
      </c>
      <c r="N153" s="33">
        <v>4341.9028558355321</v>
      </c>
      <c r="O153" s="34">
        <v>6182.8888310912871</v>
      </c>
      <c r="P153" s="33">
        <v>1906.4622921420328</v>
      </c>
      <c r="Q153" s="33">
        <v>4109.3154572327248</v>
      </c>
      <c r="R153" s="34">
        <v>6015.7777493747581</v>
      </c>
      <c r="S153" s="33">
        <v>1921.8848608212952</v>
      </c>
      <c r="T153" s="33">
        <v>4078.4507918768595</v>
      </c>
      <c r="U153" s="34">
        <v>6000.3356526981552</v>
      </c>
      <c r="V153" s="33">
        <v>1955.9017894828344</v>
      </c>
      <c r="W153" s="33">
        <v>4267.4151980786728</v>
      </c>
      <c r="X153" s="34">
        <v>6223.3169875615076</v>
      </c>
      <c r="Y153" s="35">
        <f t="shared" si="10"/>
        <v>3.7161476918892822E-2</v>
      </c>
      <c r="Z153" s="33">
        <v>1997.4919908115407</v>
      </c>
      <c r="AA153" s="33">
        <v>4407.6261546912956</v>
      </c>
      <c r="AB153" s="34">
        <f t="shared" si="11"/>
        <v>6405.1181455028363</v>
      </c>
      <c r="AC153" s="35">
        <f t="shared" si="12"/>
        <v>2.9212903392948464E-2</v>
      </c>
      <c r="AD153" s="33">
        <v>2056.3751088111158</v>
      </c>
      <c r="AE153" s="33">
        <v>4539.625374066416</v>
      </c>
      <c r="AF153" s="34">
        <f t="shared" si="13"/>
        <v>6596.0004828775318</v>
      </c>
      <c r="AG153" s="35">
        <f t="shared" si="14"/>
        <v>2.9801532624143423E-2</v>
      </c>
    </row>
    <row r="154" spans="1:33" x14ac:dyDescent="0.3">
      <c r="A154" s="31" t="s">
        <v>356</v>
      </c>
      <c r="B154" s="31">
        <v>8294</v>
      </c>
      <c r="C154" s="32" t="s">
        <v>357</v>
      </c>
      <c r="D154" s="33">
        <v>1375.9032621393258</v>
      </c>
      <c r="E154" s="33">
        <v>3902.4923413393471</v>
      </c>
      <c r="F154" s="33">
        <v>5278.3956034786734</v>
      </c>
      <c r="G154" s="33">
        <v>1640.7100407653468</v>
      </c>
      <c r="H154" s="33">
        <v>3882.5896303985164</v>
      </c>
      <c r="I154" s="33">
        <v>5523.2996711638634</v>
      </c>
      <c r="J154" s="33">
        <v>1682.3420343122211</v>
      </c>
      <c r="K154" s="33">
        <v>3756.7937263736044</v>
      </c>
      <c r="L154" s="34">
        <v>5439.1357606858255</v>
      </c>
      <c r="M154" s="33">
        <v>1768.3359881959288</v>
      </c>
      <c r="N154" s="33">
        <v>3717.3473922466819</v>
      </c>
      <c r="O154" s="34">
        <v>5485.6833804426105</v>
      </c>
      <c r="P154" s="33">
        <v>1801.7780813729264</v>
      </c>
      <c r="Q154" s="33">
        <v>3518.2162305479469</v>
      </c>
      <c r="R154" s="34">
        <v>5319.9943119208729</v>
      </c>
      <c r="S154" s="33">
        <v>1810.5874935834734</v>
      </c>
      <c r="T154" s="33">
        <v>3491.791253508447</v>
      </c>
      <c r="U154" s="34">
        <v>5302.3787470919206</v>
      </c>
      <c r="V154" s="33">
        <v>1822.5508180952379</v>
      </c>
      <c r="W154" s="33">
        <v>3653.5743163601783</v>
      </c>
      <c r="X154" s="34">
        <v>5476.1251344554166</v>
      </c>
      <c r="Y154" s="35">
        <f t="shared" si="10"/>
        <v>3.2767630463739872E-2</v>
      </c>
      <c r="Z154" s="33">
        <v>1865.014205666856</v>
      </c>
      <c r="AA154" s="33">
        <v>3773.6168072297824</v>
      </c>
      <c r="AB154" s="34">
        <f t="shared" si="11"/>
        <v>5638.6310128966379</v>
      </c>
      <c r="AC154" s="35">
        <f t="shared" si="12"/>
        <v>2.9675340583206422E-2</v>
      </c>
      <c r="AD154" s="33">
        <v>1928.8013581327923</v>
      </c>
      <c r="AE154" s="33">
        <v>3886.6287677031073</v>
      </c>
      <c r="AF154" s="34">
        <f t="shared" si="13"/>
        <v>5815.4301258358992</v>
      </c>
      <c r="AG154" s="35">
        <f t="shared" si="14"/>
        <v>3.1354971186248415E-2</v>
      </c>
    </row>
    <row r="155" spans="1:33" x14ac:dyDescent="0.3">
      <c r="A155" s="31" t="s">
        <v>358</v>
      </c>
      <c r="B155" s="31">
        <v>8295</v>
      </c>
      <c r="C155" s="32" t="s">
        <v>359</v>
      </c>
      <c r="D155" s="33">
        <v>5962.1438303783279</v>
      </c>
      <c r="E155" s="33">
        <v>8443.6063448493733</v>
      </c>
      <c r="F155" s="33">
        <v>14405.750175227702</v>
      </c>
      <c r="G155" s="33">
        <v>6342.1567106561542</v>
      </c>
      <c r="H155" s="33">
        <v>8400.5439524906415</v>
      </c>
      <c r="I155" s="33">
        <v>14742.700663146796</v>
      </c>
      <c r="J155" s="33">
        <v>6486.9674441600837</v>
      </c>
      <c r="K155" s="33">
        <v>8128.3663284299446</v>
      </c>
      <c r="L155" s="34">
        <v>14615.333772590027</v>
      </c>
      <c r="M155" s="33">
        <v>6548.765655273226</v>
      </c>
      <c r="N155" s="33">
        <v>8043.0184819814303</v>
      </c>
      <c r="O155" s="34">
        <v>14591.784137254657</v>
      </c>
      <c r="P155" s="33">
        <v>6709.7177125753642</v>
      </c>
      <c r="Q155" s="33">
        <v>7612.1694262214369</v>
      </c>
      <c r="R155" s="34">
        <v>14321.887138796801</v>
      </c>
      <c r="S155" s="33">
        <v>6711.3216696448926</v>
      </c>
      <c r="T155" s="33">
        <v>7554.9951682659057</v>
      </c>
      <c r="U155" s="34">
        <v>14266.316837910799</v>
      </c>
      <c r="V155" s="33">
        <v>6787.9479782662875</v>
      </c>
      <c r="W155" s="33">
        <v>7905.0362129371724</v>
      </c>
      <c r="X155" s="34">
        <v>14692.984191203461</v>
      </c>
      <c r="Y155" s="35">
        <f t="shared" si="10"/>
        <v>2.9907323532788244E-2</v>
      </c>
      <c r="Z155" s="33">
        <v>6863.449166625699</v>
      </c>
      <c r="AA155" s="33">
        <v>8164.7654958933672</v>
      </c>
      <c r="AB155" s="34">
        <f t="shared" si="11"/>
        <v>15028.214662519065</v>
      </c>
      <c r="AC155" s="35">
        <f t="shared" si="12"/>
        <v>2.2815683114687069E-2</v>
      </c>
      <c r="AD155" s="33">
        <v>6993.3277203080752</v>
      </c>
      <c r="AE155" s="33">
        <v>8409.2832099675834</v>
      </c>
      <c r="AF155" s="34">
        <f t="shared" si="13"/>
        <v>15402.610930275659</v>
      </c>
      <c r="AG155" s="35">
        <f t="shared" si="14"/>
        <v>2.4912890597068138E-2</v>
      </c>
    </row>
    <row r="156" spans="1:33" x14ac:dyDescent="0.3">
      <c r="A156" s="31" t="s">
        <v>360</v>
      </c>
      <c r="B156" s="31">
        <v>8296</v>
      </c>
      <c r="C156" s="32" t="s">
        <v>361</v>
      </c>
      <c r="D156" s="33">
        <v>337.27580432345724</v>
      </c>
      <c r="E156" s="33">
        <v>1737.7035649884158</v>
      </c>
      <c r="F156" s="33">
        <v>2074.9793693118731</v>
      </c>
      <c r="G156" s="33">
        <v>355.31538889090098</v>
      </c>
      <c r="H156" s="33">
        <v>1728.841276806975</v>
      </c>
      <c r="I156" s="33">
        <v>2084.1566656978757</v>
      </c>
      <c r="J156" s="33">
        <v>367.71760328101857</v>
      </c>
      <c r="K156" s="33">
        <v>1672.8268194384291</v>
      </c>
      <c r="L156" s="34">
        <v>2040.5444227194475</v>
      </c>
      <c r="M156" s="33">
        <v>381.2472917066014</v>
      </c>
      <c r="N156" s="33">
        <v>1655.2621378343256</v>
      </c>
      <c r="O156" s="34">
        <v>2036.5094295409269</v>
      </c>
      <c r="P156" s="33">
        <v>399.44794399339736</v>
      </c>
      <c r="Q156" s="33">
        <v>1566.5929235687013</v>
      </c>
      <c r="R156" s="34">
        <v>1966.0408675620986</v>
      </c>
      <c r="S156" s="33">
        <v>403.58977450483587</v>
      </c>
      <c r="T156" s="33">
        <v>1554.8263977718777</v>
      </c>
      <c r="U156" s="34">
        <v>1958.4161722767135</v>
      </c>
      <c r="V156" s="33">
        <v>405.07321274707027</v>
      </c>
      <c r="W156" s="33">
        <v>1626.8652335933245</v>
      </c>
      <c r="X156" s="34">
        <v>2031.9384463403949</v>
      </c>
      <c r="Y156" s="35">
        <f t="shared" si="10"/>
        <v>3.7541700841966508E-2</v>
      </c>
      <c r="Z156" s="33">
        <v>412.93873953773323</v>
      </c>
      <c r="AA156" s="33">
        <v>1680.3178085348577</v>
      </c>
      <c r="AB156" s="34">
        <f t="shared" si="11"/>
        <v>2093.2565480725907</v>
      </c>
      <c r="AC156" s="35">
        <f t="shared" si="12"/>
        <v>3.0177145298191599E-2</v>
      </c>
      <c r="AD156" s="33">
        <v>420.63248631208643</v>
      </c>
      <c r="AE156" s="33">
        <v>1730.63982570336</v>
      </c>
      <c r="AF156" s="34">
        <f t="shared" si="13"/>
        <v>2151.2723120154465</v>
      </c>
      <c r="AG156" s="35">
        <f t="shared" si="14"/>
        <v>2.7715553545634375E-2</v>
      </c>
    </row>
    <row r="157" spans="1:33" x14ac:dyDescent="0.3">
      <c r="A157" s="31" t="s">
        <v>362</v>
      </c>
      <c r="B157" s="31">
        <v>8300</v>
      </c>
      <c r="C157" s="32" t="s">
        <v>363</v>
      </c>
      <c r="D157" s="33">
        <v>1017.9938038753194</v>
      </c>
      <c r="E157" s="33">
        <v>3960.8767269545692</v>
      </c>
      <c r="F157" s="33">
        <v>4978.8705308298886</v>
      </c>
      <c r="G157" s="33">
        <v>1037.3814061662933</v>
      </c>
      <c r="H157" s="33">
        <v>3940.6762556471008</v>
      </c>
      <c r="I157" s="33">
        <v>4978.0576618133946</v>
      </c>
      <c r="J157" s="33">
        <v>1059.3733132426221</v>
      </c>
      <c r="K157" s="33">
        <v>3812.998344964135</v>
      </c>
      <c r="L157" s="34">
        <v>4872.3716582067573</v>
      </c>
      <c r="M157" s="33">
        <v>1059.5179968418086</v>
      </c>
      <c r="N157" s="33">
        <v>3772.9618623420115</v>
      </c>
      <c r="O157" s="34">
        <v>4832.4798591838198</v>
      </c>
      <c r="P157" s="33">
        <v>1072.2501535702092</v>
      </c>
      <c r="Q157" s="33">
        <v>3570.851540271975</v>
      </c>
      <c r="R157" s="34">
        <v>4643.1016938421844</v>
      </c>
      <c r="S157" s="33">
        <v>1080.3211777759241</v>
      </c>
      <c r="T157" s="33">
        <v>3544.0312245836317</v>
      </c>
      <c r="U157" s="34">
        <v>4624.3524023595555</v>
      </c>
      <c r="V157" s="33">
        <v>1095.5178830185148</v>
      </c>
      <c r="W157" s="33">
        <v>3708.234690578116</v>
      </c>
      <c r="X157" s="34">
        <v>4803.752573596631</v>
      </c>
      <c r="Y157" s="35">
        <f t="shared" si="10"/>
        <v>3.8794658284593053E-2</v>
      </c>
      <c r="Z157" s="33">
        <v>1106.0852762544303</v>
      </c>
      <c r="AA157" s="33">
        <v>3830.0731124743875</v>
      </c>
      <c r="AB157" s="34">
        <f t="shared" si="11"/>
        <v>4936.158388728818</v>
      </c>
      <c r="AC157" s="35">
        <f t="shared" si="12"/>
        <v>2.7562996449888466E-2</v>
      </c>
      <c r="AD157" s="33">
        <v>1132.729373663921</v>
      </c>
      <c r="AE157" s="33">
        <v>3944.7758216545103</v>
      </c>
      <c r="AF157" s="34">
        <f t="shared" si="13"/>
        <v>5077.5051953184311</v>
      </c>
      <c r="AG157" s="35">
        <f t="shared" si="14"/>
        <v>2.8634981995789177E-2</v>
      </c>
    </row>
    <row r="158" spans="1:33" x14ac:dyDescent="0.3">
      <c r="A158" s="36" t="s">
        <v>364</v>
      </c>
      <c r="B158" s="36">
        <v>8301</v>
      </c>
      <c r="C158" s="37" t="s">
        <v>365</v>
      </c>
      <c r="D158" s="38">
        <v>10162.954857946163</v>
      </c>
      <c r="E158" s="38">
        <v>24710.490883617753</v>
      </c>
      <c r="F158" s="38">
        <v>34873.445741563919</v>
      </c>
      <c r="G158" s="38">
        <v>10396.39311938048</v>
      </c>
      <c r="H158" s="38">
        <v>24584.467380111302</v>
      </c>
      <c r="I158" s="38">
        <v>34980.860499491784</v>
      </c>
      <c r="J158" s="38">
        <v>10548.584896941928</v>
      </c>
      <c r="K158" s="38">
        <v>23787.930636995698</v>
      </c>
      <c r="L158" s="39">
        <v>34336.515533937622</v>
      </c>
      <c r="M158" s="38">
        <v>10646.280055463903</v>
      </c>
      <c r="N158" s="38">
        <v>23538.157365307245</v>
      </c>
      <c r="O158" s="39">
        <v>34184.437420771152</v>
      </c>
      <c r="P158" s="38">
        <v>10830.870737637233</v>
      </c>
      <c r="Q158" s="38">
        <v>22277.263473555999</v>
      </c>
      <c r="R158" s="39">
        <v>33108.134211193232</v>
      </c>
      <c r="S158" s="38">
        <v>10804.344731033425</v>
      </c>
      <c r="T158" s="38">
        <v>22109.941132569606</v>
      </c>
      <c r="U158" s="39">
        <v>32914.285863603029</v>
      </c>
      <c r="V158" s="38">
        <v>10872.380844286597</v>
      </c>
      <c r="W158" s="38">
        <v>23134.347729700665</v>
      </c>
      <c r="X158" s="39">
        <v>34006.72857398726</v>
      </c>
      <c r="Y158" s="40">
        <f t="shared" si="10"/>
        <v>3.3190533585061521E-2</v>
      </c>
      <c r="Z158" s="38">
        <v>10999.73157145068</v>
      </c>
      <c r="AA158" s="38">
        <v>23894.453994319771</v>
      </c>
      <c r="AB158" s="39">
        <f t="shared" si="11"/>
        <v>34894.185565770451</v>
      </c>
      <c r="AC158" s="40">
        <f t="shared" si="12"/>
        <v>2.609651174920824E-2</v>
      </c>
      <c r="AD158" s="38">
        <v>11099.381371234733</v>
      </c>
      <c r="AE158" s="38">
        <v>24610.043103729131</v>
      </c>
      <c r="AF158" s="39">
        <f t="shared" si="13"/>
        <v>35709.42447496386</v>
      </c>
      <c r="AG158" s="40">
        <f t="shared" si="14"/>
        <v>2.3363173433488038E-2</v>
      </c>
    </row>
    <row r="159" spans="1:33" x14ac:dyDescent="0.3">
      <c r="A159" s="31" t="s">
        <v>366</v>
      </c>
      <c r="B159" s="31">
        <v>8304</v>
      </c>
      <c r="C159" s="32" t="s">
        <v>367</v>
      </c>
      <c r="D159" s="33">
        <v>147.50936060002979</v>
      </c>
      <c r="E159" s="33">
        <v>493.55194130256609</v>
      </c>
      <c r="F159" s="33">
        <v>641.06130190259591</v>
      </c>
      <c r="G159" s="33">
        <v>158.36193698493037</v>
      </c>
      <c r="H159" s="33">
        <v>491.034826401923</v>
      </c>
      <c r="I159" s="33">
        <v>649.39676338685331</v>
      </c>
      <c r="J159" s="33">
        <v>158.79032815801855</v>
      </c>
      <c r="K159" s="33">
        <v>475.12529802650073</v>
      </c>
      <c r="L159" s="34">
        <v>633.91562618451928</v>
      </c>
      <c r="M159" s="33">
        <v>161.21787813885157</v>
      </c>
      <c r="N159" s="33">
        <v>470.13648239722249</v>
      </c>
      <c r="O159" s="34">
        <v>631.35436053607407</v>
      </c>
      <c r="P159" s="33">
        <v>157.93354581184221</v>
      </c>
      <c r="Q159" s="33">
        <v>444.95217379803756</v>
      </c>
      <c r="R159" s="34">
        <v>602.88571960987974</v>
      </c>
      <c r="S159" s="33">
        <v>157.85115105340293</v>
      </c>
      <c r="T159" s="33">
        <v>441.61018166173915</v>
      </c>
      <c r="U159" s="34">
        <v>599.46133271514213</v>
      </c>
      <c r="V159" s="33">
        <v>157.67403865169331</v>
      </c>
      <c r="W159" s="33">
        <v>462.07104045562033</v>
      </c>
      <c r="X159" s="34">
        <v>619.74507910731359</v>
      </c>
      <c r="Y159" s="35">
        <f t="shared" si="10"/>
        <v>3.3836621788932097E-2</v>
      </c>
      <c r="Z159" s="33">
        <v>159.22724345594591</v>
      </c>
      <c r="AA159" s="33">
        <v>477.25292916296752</v>
      </c>
      <c r="AB159" s="34">
        <f t="shared" si="11"/>
        <v>636.48017261891346</v>
      </c>
      <c r="AC159" s="35">
        <f t="shared" si="12"/>
        <v>2.7003189013949491E-2</v>
      </c>
      <c r="AD159" s="33">
        <v>161.66202400949146</v>
      </c>
      <c r="AE159" s="33">
        <v>491.5456599625046</v>
      </c>
      <c r="AF159" s="34">
        <f t="shared" si="13"/>
        <v>653.20768397199606</v>
      </c>
      <c r="AG159" s="35">
        <f t="shared" si="14"/>
        <v>2.6281276420998756E-2</v>
      </c>
    </row>
    <row r="160" spans="1:33" x14ac:dyDescent="0.3">
      <c r="A160" s="31" t="s">
        <v>368</v>
      </c>
      <c r="B160" s="31">
        <v>8305</v>
      </c>
      <c r="C160" s="32" t="s">
        <v>369</v>
      </c>
      <c r="D160" s="33">
        <v>12132.481569616144</v>
      </c>
      <c r="E160" s="33">
        <v>24695.004452923695</v>
      </c>
      <c r="F160" s="33">
        <v>36827.486022539837</v>
      </c>
      <c r="G160" s="33">
        <v>12356.36714277912</v>
      </c>
      <c r="H160" s="33">
        <v>24569.059930213785</v>
      </c>
      <c r="I160" s="33">
        <v>36925.427072992905</v>
      </c>
      <c r="J160" s="33">
        <v>12707.242464973977</v>
      </c>
      <c r="K160" s="33">
        <v>23773.022388474859</v>
      </c>
      <c r="L160" s="34">
        <v>36480.26485344884</v>
      </c>
      <c r="M160" s="33">
        <v>12638.787053386479</v>
      </c>
      <c r="N160" s="33">
        <v>23523.405653395876</v>
      </c>
      <c r="O160" s="34">
        <v>36162.192706782356</v>
      </c>
      <c r="P160" s="33">
        <v>12908.970972550662</v>
      </c>
      <c r="Q160" s="33">
        <v>22263.301982525274</v>
      </c>
      <c r="R160" s="34">
        <v>35172.27295507594</v>
      </c>
      <c r="S160" s="33">
        <v>12916.18484617349</v>
      </c>
      <c r="T160" s="33">
        <v>22096.084504928662</v>
      </c>
      <c r="U160" s="34">
        <v>35012.26935110215</v>
      </c>
      <c r="V160" s="33">
        <v>13019.518580949216</v>
      </c>
      <c r="W160" s="33">
        <v>23119.849091269905</v>
      </c>
      <c r="X160" s="34">
        <v>36139.367672219123</v>
      </c>
      <c r="Y160" s="35">
        <f t="shared" si="10"/>
        <v>3.2191524342922717E-2</v>
      </c>
      <c r="Z160" s="33">
        <v>13221.161208384254</v>
      </c>
      <c r="AA160" s="33">
        <v>23879.478986032882</v>
      </c>
      <c r="AB160" s="34">
        <f t="shared" si="11"/>
        <v>37100.640194417138</v>
      </c>
      <c r="AC160" s="35">
        <f t="shared" si="12"/>
        <v>2.6599040993651846E-2</v>
      </c>
      <c r="AD160" s="33">
        <v>13368.346643112007</v>
      </c>
      <c r="AE160" s="33">
        <v>24594.619625146752</v>
      </c>
      <c r="AF160" s="34">
        <f t="shared" si="13"/>
        <v>37962.966268258759</v>
      </c>
      <c r="AG160" s="35">
        <f t="shared" si="14"/>
        <v>2.3242889322739657E-2</v>
      </c>
    </row>
    <row r="161" spans="1:33" x14ac:dyDescent="0.3">
      <c r="A161" s="31" t="s">
        <v>370</v>
      </c>
      <c r="B161" s="31">
        <v>8306</v>
      </c>
      <c r="C161" s="32" t="s">
        <v>371</v>
      </c>
      <c r="D161" s="33">
        <v>33.579862730101944</v>
      </c>
      <c r="E161" s="33">
        <v>267.72108457717286</v>
      </c>
      <c r="F161" s="33">
        <v>301.30094730727478</v>
      </c>
      <c r="G161" s="33">
        <v>33.811049392615551</v>
      </c>
      <c r="H161" s="33">
        <v>266.35570704582926</v>
      </c>
      <c r="I161" s="33">
        <v>300.16675643844479</v>
      </c>
      <c r="J161" s="33">
        <v>36.758679339664084</v>
      </c>
      <c r="K161" s="33">
        <v>257.7257821375444</v>
      </c>
      <c r="L161" s="34">
        <v>294.48446147720847</v>
      </c>
      <c r="M161" s="33">
        <v>39.821902617969421</v>
      </c>
      <c r="N161" s="33">
        <v>255.0196614251002</v>
      </c>
      <c r="O161" s="34">
        <v>294.84156404306964</v>
      </c>
      <c r="P161" s="33">
        <v>40.631055936767055</v>
      </c>
      <c r="Q161" s="33">
        <v>241.35874785497876</v>
      </c>
      <c r="R161" s="34">
        <v>281.98980379174583</v>
      </c>
      <c r="S161" s="33">
        <v>40.996396886167744</v>
      </c>
      <c r="T161" s="33">
        <v>239.54592597240875</v>
      </c>
      <c r="U161" s="34">
        <v>280.54232285857648</v>
      </c>
      <c r="V161" s="33">
        <v>41.724014762812459</v>
      </c>
      <c r="W161" s="33">
        <v>250.64466320606527</v>
      </c>
      <c r="X161" s="34">
        <v>292.36867796887771</v>
      </c>
      <c r="Y161" s="35">
        <f t="shared" si="10"/>
        <v>4.2155333248106608E-2</v>
      </c>
      <c r="Z161" s="33">
        <v>41.961358727516739</v>
      </c>
      <c r="AA161" s="33">
        <v>258.87988906686115</v>
      </c>
      <c r="AB161" s="34">
        <f t="shared" si="11"/>
        <v>300.84124779437786</v>
      </c>
      <c r="AC161" s="35">
        <f t="shared" si="12"/>
        <v>2.8979061246779736E-2</v>
      </c>
      <c r="AD161" s="33">
        <v>42.213540273286632</v>
      </c>
      <c r="AE161" s="33">
        <v>266.63280232888371</v>
      </c>
      <c r="AF161" s="34">
        <f t="shared" si="13"/>
        <v>308.84634260217035</v>
      </c>
      <c r="AG161" s="35">
        <f t="shared" si="14"/>
        <v>2.6609033390474046E-2</v>
      </c>
    </row>
    <row r="162" spans="1:33" x14ac:dyDescent="0.3">
      <c r="A162" s="31" t="s">
        <v>372</v>
      </c>
      <c r="B162" s="31">
        <v>8307</v>
      </c>
      <c r="C162" s="32" t="s">
        <v>373</v>
      </c>
      <c r="D162" s="33">
        <v>22554.518102094331</v>
      </c>
      <c r="E162" s="33">
        <v>25082.781861791304</v>
      </c>
      <c r="F162" s="33">
        <v>47637.299963885634</v>
      </c>
      <c r="G162" s="33">
        <v>23300.878576010451</v>
      </c>
      <c r="H162" s="33">
        <v>24954.859674296167</v>
      </c>
      <c r="I162" s="33">
        <v>48255.738250306618</v>
      </c>
      <c r="J162" s="33">
        <v>23654.493326759552</v>
      </c>
      <c r="K162" s="33">
        <v>24146.322220848971</v>
      </c>
      <c r="L162" s="34">
        <v>47800.815547608523</v>
      </c>
      <c r="M162" s="33">
        <v>23884.971164303632</v>
      </c>
      <c r="N162" s="33">
        <v>23892.785837530057</v>
      </c>
      <c r="O162" s="34">
        <v>47777.757001833685</v>
      </c>
      <c r="P162" s="33">
        <v>23906.152149373884</v>
      </c>
      <c r="Q162" s="33">
        <v>22612.895179484527</v>
      </c>
      <c r="R162" s="34">
        <v>46519.047328858411</v>
      </c>
      <c r="S162" s="33">
        <v>23889.218545594569</v>
      </c>
      <c r="T162" s="33">
        <v>22443.051941673806</v>
      </c>
      <c r="U162" s="34">
        <v>46332.270487268375</v>
      </c>
      <c r="V162" s="33">
        <v>24128.222021956335</v>
      </c>
      <c r="W162" s="33">
        <v>23482.892361463008</v>
      </c>
      <c r="X162" s="34">
        <v>47611.114383419343</v>
      </c>
      <c r="Y162" s="35">
        <f t="shared" si="10"/>
        <v>2.7601580555012495E-2</v>
      </c>
      <c r="Z162" s="33">
        <v>24507.538425354276</v>
      </c>
      <c r="AA162" s="33">
        <v>24254.450470810883</v>
      </c>
      <c r="AB162" s="34">
        <f t="shared" si="11"/>
        <v>48761.98889616516</v>
      </c>
      <c r="AC162" s="35">
        <f t="shared" si="12"/>
        <v>2.4172391838545471E-2</v>
      </c>
      <c r="AD162" s="33">
        <v>24897.671354110327</v>
      </c>
      <c r="AE162" s="33">
        <v>24980.820724583871</v>
      </c>
      <c r="AF162" s="34">
        <f t="shared" si="13"/>
        <v>49878.492078694195</v>
      </c>
      <c r="AG162" s="35">
        <f t="shared" si="14"/>
        <v>2.2896998416257031E-2</v>
      </c>
    </row>
    <row r="163" spans="1:33" x14ac:dyDescent="0.3">
      <c r="A163" s="31" t="s">
        <v>374</v>
      </c>
      <c r="B163" s="31">
        <v>8902</v>
      </c>
      <c r="C163" s="32" t="s">
        <v>375</v>
      </c>
      <c r="D163" s="33">
        <v>943.42186694762324</v>
      </c>
      <c r="E163" s="33">
        <v>3139.9572332644134</v>
      </c>
      <c r="F163" s="33">
        <v>4083.3791002120365</v>
      </c>
      <c r="G163" s="33">
        <v>1114.6576854052603</v>
      </c>
      <c r="H163" s="33">
        <v>3123.9434513747651</v>
      </c>
      <c r="I163" s="33">
        <v>4238.6011367800256</v>
      </c>
      <c r="J163" s="33">
        <v>1163.4036483238576</v>
      </c>
      <c r="K163" s="33">
        <v>3022.727683550223</v>
      </c>
      <c r="L163" s="34">
        <v>4186.1313318740804</v>
      </c>
      <c r="M163" s="33">
        <v>1199.1506877974957</v>
      </c>
      <c r="N163" s="33">
        <v>2990.9890428729459</v>
      </c>
      <c r="O163" s="34">
        <v>4190.1397306704421</v>
      </c>
      <c r="P163" s="33">
        <v>1265.3952015073846</v>
      </c>
      <c r="Q163" s="33">
        <v>2830.7675031864142</v>
      </c>
      <c r="R163" s="34">
        <v>4096.1627046937992</v>
      </c>
      <c r="S163" s="33">
        <v>1301.5863903945594</v>
      </c>
      <c r="T163" s="33">
        <v>2809.5058861128628</v>
      </c>
      <c r="U163" s="34">
        <v>4111.092276507422</v>
      </c>
      <c r="V163" s="33">
        <v>1309.9768637423426</v>
      </c>
      <c r="W163" s="33">
        <v>2939.6770316240982</v>
      </c>
      <c r="X163" s="34">
        <v>4249.6538953664403</v>
      </c>
      <c r="Y163" s="35">
        <f t="shared" si="10"/>
        <v>3.3704331972994162E-2</v>
      </c>
      <c r="Z163" s="33">
        <v>1336.9373942811703</v>
      </c>
      <c r="AA163" s="33">
        <v>3036.2635856865536</v>
      </c>
      <c r="AB163" s="34">
        <f t="shared" si="11"/>
        <v>4373.2009799677235</v>
      </c>
      <c r="AC163" s="35">
        <f t="shared" si="12"/>
        <v>2.9072269799663264E-2</v>
      </c>
      <c r="AD163" s="33">
        <v>1374.0777632397376</v>
      </c>
      <c r="AE163" s="33">
        <v>3127.1933535619783</v>
      </c>
      <c r="AF163" s="34">
        <f t="shared" si="13"/>
        <v>4501.2711168017158</v>
      </c>
      <c r="AG163" s="35">
        <f t="shared" si="14"/>
        <v>2.9285216348537757E-2</v>
      </c>
    </row>
    <row r="164" spans="1:33" x14ac:dyDescent="0.3">
      <c r="A164" s="42" t="s">
        <v>376</v>
      </c>
      <c r="B164" s="42">
        <v>8904</v>
      </c>
      <c r="C164" s="43" t="s">
        <v>377</v>
      </c>
      <c r="D164" s="44">
        <v>893.17139768096695</v>
      </c>
      <c r="E164" s="44">
        <v>2255.8646818680008</v>
      </c>
      <c r="F164" s="44">
        <v>3149.0360795489678</v>
      </c>
      <c r="G164" s="44">
        <v>874.57815326276932</v>
      </c>
      <c r="H164" s="44">
        <v>2244.3597719904742</v>
      </c>
      <c r="I164" s="44">
        <v>3118.9379252532435</v>
      </c>
      <c r="J164" s="44">
        <v>865.09180406981136</v>
      </c>
      <c r="K164" s="44">
        <v>2171.6425153779828</v>
      </c>
      <c r="L164" s="45">
        <v>3036.7343194477944</v>
      </c>
      <c r="M164" s="44">
        <v>866.60961994068475</v>
      </c>
      <c r="N164" s="44">
        <v>2148.840268966514</v>
      </c>
      <c r="O164" s="45">
        <v>3015.4498889071988</v>
      </c>
      <c r="P164" s="44">
        <v>857.75569402725739</v>
      </c>
      <c r="Q164" s="44">
        <v>2033.7310219919636</v>
      </c>
      <c r="R164" s="45">
        <v>2891.4867160192211</v>
      </c>
      <c r="S164" s="44">
        <v>848.11568625579639</v>
      </c>
      <c r="T164" s="44">
        <v>2018.4558677549865</v>
      </c>
      <c r="U164" s="45">
        <v>2866.5715540107831</v>
      </c>
      <c r="V164" s="44">
        <v>853.26133355068055</v>
      </c>
      <c r="W164" s="44">
        <v>2111.9757688052973</v>
      </c>
      <c r="X164" s="45">
        <v>2965.2371023559781</v>
      </c>
      <c r="Y164" s="46">
        <f t="shared" si="10"/>
        <v>3.4419356533119227E-2</v>
      </c>
      <c r="Z164" s="44">
        <v>862.81477942719562</v>
      </c>
      <c r="AA164" s="44">
        <v>2181.3672222125479</v>
      </c>
      <c r="AB164" s="45">
        <f t="shared" si="11"/>
        <v>3044.1820016397432</v>
      </c>
      <c r="AC164" s="46">
        <f t="shared" si="12"/>
        <v>2.6623469408581402E-2</v>
      </c>
      <c r="AD164" s="44">
        <v>875.02377749806874</v>
      </c>
      <c r="AE164" s="44">
        <v>2246.6946253082169</v>
      </c>
      <c r="AF164" s="45">
        <f t="shared" si="13"/>
        <v>3121.7184028062857</v>
      </c>
      <c r="AG164" s="46">
        <f t="shared" si="14"/>
        <v>2.5470356609682776E-2</v>
      </c>
    </row>
    <row r="165" spans="1:33" x14ac:dyDescent="0.3">
      <c r="A165" s="31" t="s">
        <v>378</v>
      </c>
      <c r="B165" s="31">
        <v>8905</v>
      </c>
      <c r="C165" s="32" t="s">
        <v>379</v>
      </c>
      <c r="D165" s="33">
        <v>201.01318193862517</v>
      </c>
      <c r="E165" s="33">
        <v>746.52640833982332</v>
      </c>
      <c r="F165" s="33">
        <v>947.53959027844849</v>
      </c>
      <c r="G165" s="33">
        <v>203.63684796794456</v>
      </c>
      <c r="H165" s="33">
        <v>742.7191236572902</v>
      </c>
      <c r="I165" s="33">
        <v>946.35597162523482</v>
      </c>
      <c r="J165" s="33">
        <v>205.65505260588256</v>
      </c>
      <c r="K165" s="33">
        <v>718.65502405079405</v>
      </c>
      <c r="L165" s="34">
        <v>924.31007665667664</v>
      </c>
      <c r="M165" s="33">
        <v>204.17503587139467</v>
      </c>
      <c r="N165" s="33">
        <v>711.10914629826073</v>
      </c>
      <c r="O165" s="34">
        <v>915.28418216965542</v>
      </c>
      <c r="P165" s="33">
        <v>203.36775401621946</v>
      </c>
      <c r="Q165" s="33">
        <v>673.01639481307177</v>
      </c>
      <c r="R165" s="34">
        <v>876.38414882929123</v>
      </c>
      <c r="S165" s="33">
        <v>214.47885059569424</v>
      </c>
      <c r="T165" s="33">
        <v>667.96143468136529</v>
      </c>
      <c r="U165" s="34">
        <v>882.4402852770595</v>
      </c>
      <c r="V165" s="33">
        <v>220.02616610044575</v>
      </c>
      <c r="W165" s="33">
        <v>698.9096898672982</v>
      </c>
      <c r="X165" s="34">
        <v>918.93585596774392</v>
      </c>
      <c r="Y165" s="35">
        <f t="shared" si="10"/>
        <v>4.1357552799423658E-2</v>
      </c>
      <c r="Z165" s="33">
        <v>229.37378030732927</v>
      </c>
      <c r="AA165" s="33">
        <v>721.87319157818058</v>
      </c>
      <c r="AB165" s="34">
        <f t="shared" si="11"/>
        <v>951.24697188550988</v>
      </c>
      <c r="AC165" s="35">
        <f t="shared" si="12"/>
        <v>3.5161448655998573E-2</v>
      </c>
      <c r="AD165" s="33">
        <v>233.0873949427133</v>
      </c>
      <c r="AE165" s="33">
        <v>743.49178953361911</v>
      </c>
      <c r="AF165" s="34">
        <f t="shared" si="13"/>
        <v>976.57918447633244</v>
      </c>
      <c r="AG165" s="35">
        <f t="shared" si="14"/>
        <v>2.6630531649010525E-2</v>
      </c>
    </row>
    <row r="166" spans="1:33" x14ac:dyDescent="0.3">
      <c r="Z166" s="47"/>
      <c r="AA166" s="47"/>
      <c r="AB166" s="47"/>
      <c r="AD166" s="47"/>
      <c r="AE166" s="47"/>
      <c r="AF166" s="47"/>
    </row>
    <row r="167" spans="1:33" x14ac:dyDescent="0.3">
      <c r="D167" s="47">
        <f t="shared" ref="D167:F167" si="15">SUM(D2:D165)</f>
        <v>3192229.7075182833</v>
      </c>
      <c r="E167" s="47">
        <f t="shared" si="15"/>
        <v>3647675.596218768</v>
      </c>
      <c r="F167" s="47">
        <f t="shared" si="15"/>
        <v>6839905.3037370453</v>
      </c>
      <c r="G167" s="47">
        <f t="shared" ref="G167:X167" si="16">SUM(G2:G165)</f>
        <v>3232565.3177166046</v>
      </c>
      <c r="H167" s="47">
        <f t="shared" si="16"/>
        <v>3629072.4506780496</v>
      </c>
      <c r="I167" s="47">
        <f t="shared" si="16"/>
        <v>6861637.7683946546</v>
      </c>
      <c r="J167" s="47">
        <f t="shared" si="16"/>
        <v>3262206.4068402052</v>
      </c>
      <c r="K167" s="47">
        <f t="shared" si="16"/>
        <v>3511490.5032760822</v>
      </c>
      <c r="L167" s="47">
        <f t="shared" si="16"/>
        <v>6773696.9101162869</v>
      </c>
      <c r="M167" s="47">
        <f t="shared" si="16"/>
        <v>3268215.4893694934</v>
      </c>
      <c r="N167" s="47">
        <f t="shared" si="16"/>
        <v>3474619.852991682</v>
      </c>
      <c r="O167" s="47">
        <f t="shared" si="16"/>
        <v>6742835.3423611773</v>
      </c>
      <c r="P167" s="47">
        <f t="shared" si="16"/>
        <v>3284675.3688564985</v>
      </c>
      <c r="Q167" s="47">
        <f t="shared" si="16"/>
        <v>3288491.1394819268</v>
      </c>
      <c r="R167" s="47">
        <f t="shared" si="16"/>
        <v>6573166.5083384234</v>
      </c>
      <c r="S167" s="47">
        <f t="shared" si="16"/>
        <v>3239487.3177052531</v>
      </c>
      <c r="T167" s="47">
        <f t="shared" si="16"/>
        <v>3263791.6050698883</v>
      </c>
      <c r="U167" s="47">
        <f t="shared" si="16"/>
        <v>6503278.9227751438</v>
      </c>
      <c r="V167" s="47">
        <f t="shared" si="16"/>
        <v>3254338.0000243783</v>
      </c>
      <c r="W167" s="47">
        <f t="shared" si="16"/>
        <v>3415010.8974165996</v>
      </c>
      <c r="X167" s="47">
        <f t="shared" si="16"/>
        <v>6669348.8974409746</v>
      </c>
      <c r="Y167" s="47"/>
      <c r="Z167" s="47">
        <f t="shared" ref="Z167:AB167" si="17">SUM(Z2:Z165)</f>
        <v>3284304.4715428846</v>
      </c>
      <c r="AA167" s="47">
        <f t="shared" si="17"/>
        <v>3527215.1059465967</v>
      </c>
      <c r="AB167" s="47">
        <f t="shared" si="17"/>
        <v>6811519.5774894832</v>
      </c>
      <c r="AC167" s="47"/>
      <c r="AD167" s="47">
        <f t="shared" ref="AD167:AF167" si="18">SUM(AD2:AD165)</f>
        <v>3309413.1154281301</v>
      </c>
      <c r="AE167" s="47">
        <f t="shared" si="18"/>
        <v>3632847.8488818272</v>
      </c>
      <c r="AF167" s="47">
        <f t="shared" si="18"/>
        <v>6942260.9643099587</v>
      </c>
      <c r="AG167" s="47"/>
    </row>
    <row r="168" spans="1:33" x14ac:dyDescent="0.3">
      <c r="D168" s="48">
        <f t="shared" ref="D168:X168" si="19">D10+D11+D29+D37+D41+D47+D53+D65+D88+D97+D111+D113+D115+D129+D138+D158</f>
        <v>2303923.4643803174</v>
      </c>
      <c r="E168" s="48">
        <f t="shared" si="19"/>
        <v>2255711.0343290633</v>
      </c>
      <c r="F168" s="48">
        <f t="shared" si="19"/>
        <v>4559634.4987093788</v>
      </c>
      <c r="G168" s="48">
        <f t="shared" si="19"/>
        <v>2316722.7480616155</v>
      </c>
      <c r="H168" s="48">
        <f t="shared" si="19"/>
        <v>2244206.9080539839</v>
      </c>
      <c r="I168" s="48">
        <f t="shared" si="19"/>
        <v>4560929.6561156008</v>
      </c>
      <c r="J168" s="48">
        <f t="shared" si="19"/>
        <v>2328723.0692802183</v>
      </c>
      <c r="K168" s="48">
        <f t="shared" si="19"/>
        <v>2171494.6042330349</v>
      </c>
      <c r="L168" s="48">
        <f t="shared" si="19"/>
        <v>4500217.6735132532</v>
      </c>
      <c r="M168" s="48">
        <f t="shared" si="19"/>
        <v>2326860.0157178412</v>
      </c>
      <c r="N168" s="48">
        <f t="shared" si="19"/>
        <v>2148693.9108885885</v>
      </c>
      <c r="O168" s="48">
        <f t="shared" si="19"/>
        <v>4475553.9266064297</v>
      </c>
      <c r="P168" s="48">
        <f t="shared" si="19"/>
        <v>2330333.7720905775</v>
      </c>
      <c r="Q168" s="48">
        <f t="shared" si="19"/>
        <v>2033592.5040352335</v>
      </c>
      <c r="R168" s="48">
        <f t="shared" si="19"/>
        <v>4363926.2761258101</v>
      </c>
      <c r="S168" s="48">
        <f t="shared" si="19"/>
        <v>2284750.3900859398</v>
      </c>
      <c r="T168" s="48">
        <f t="shared" si="19"/>
        <v>2018318.3901930435</v>
      </c>
      <c r="U168" s="48">
        <f t="shared" si="19"/>
        <v>4303068.7802789845</v>
      </c>
      <c r="V168" s="48">
        <f t="shared" si="19"/>
        <v>2291735.4981026244</v>
      </c>
      <c r="W168" s="48">
        <f t="shared" si="19"/>
        <v>2111831.9215782085</v>
      </c>
      <c r="X168" s="48">
        <f t="shared" si="19"/>
        <v>4403567.4196808329</v>
      </c>
      <c r="Y168" s="48"/>
      <c r="Z168" s="48">
        <f t="shared" ref="Z168:AB168" si="20">Z10+Z11+Z29+Z37+Z41+Z47+Z53+Z65+Z88+Z97+Z111+Z113+Z115+Z129+Z138+Z158</f>
        <v>2308420.3334997012</v>
      </c>
      <c r="AA168" s="48">
        <f t="shared" si="20"/>
        <v>2181218.6487152502</v>
      </c>
      <c r="AB168" s="48">
        <f t="shared" si="20"/>
        <v>4489638.9822149528</v>
      </c>
      <c r="AC168" s="48"/>
      <c r="AD168" s="48">
        <f t="shared" ref="AD168:AF168" si="21">AD10+AD11+AD29+AD37+AD41+AD47+AD53+AD65+AD88+AD97+AD111+AD113+AD115+AD129+AD138+AD158</f>
        <v>2319427.527923692</v>
      </c>
      <c r="AE168" s="48">
        <f t="shared" si="21"/>
        <v>2246541.6023442512</v>
      </c>
      <c r="AF168" s="48">
        <f t="shared" si="21"/>
        <v>4565969.1302679433</v>
      </c>
      <c r="AG168" s="48"/>
    </row>
    <row r="169" spans="1:33" x14ac:dyDescent="0.3">
      <c r="D169" s="49">
        <f t="shared" ref="D169:X169" si="22">D27+D51+D54+D59+D60+D66+D67+D70+D71+D81+D82+D83+D92+D94+D95+D98+D105+D109+D125+D133+D136+D140+D145+D164</f>
        <v>572123.56095016503</v>
      </c>
      <c r="E169" s="49">
        <f t="shared" si="22"/>
        <v>828221.29623894836</v>
      </c>
      <c r="F169" s="49">
        <f t="shared" si="22"/>
        <v>1400344.8571891133</v>
      </c>
      <c r="G169" s="49">
        <f t="shared" si="22"/>
        <v>587562.30070382229</v>
      </c>
      <c r="H169" s="49">
        <f t="shared" si="22"/>
        <v>823997.36762812966</v>
      </c>
      <c r="I169" s="49">
        <f t="shared" si="22"/>
        <v>1411559.6683319518</v>
      </c>
      <c r="J169" s="49">
        <f t="shared" si="22"/>
        <v>598831.46740936395</v>
      </c>
      <c r="K169" s="49">
        <f t="shared" si="22"/>
        <v>797299.8529169783</v>
      </c>
      <c r="L169" s="49">
        <f t="shared" si="22"/>
        <v>1396131.3203263422</v>
      </c>
      <c r="M169" s="49">
        <f t="shared" si="22"/>
        <v>603437.66715141351</v>
      </c>
      <c r="N169" s="49">
        <f t="shared" si="22"/>
        <v>788928.20446135022</v>
      </c>
      <c r="O169" s="49">
        <f t="shared" si="22"/>
        <v>1392365.8716127637</v>
      </c>
      <c r="P169" s="49">
        <f t="shared" si="22"/>
        <v>611324.34946667007</v>
      </c>
      <c r="Q169" s="49">
        <f t="shared" si="22"/>
        <v>746666.83545963885</v>
      </c>
      <c r="R169" s="49">
        <f t="shared" si="22"/>
        <v>1357991.1849263089</v>
      </c>
      <c r="S169" s="49">
        <f t="shared" si="22"/>
        <v>610722.99536261614</v>
      </c>
      <c r="T169" s="49">
        <f t="shared" si="22"/>
        <v>741058.6940919027</v>
      </c>
      <c r="U169" s="49">
        <f t="shared" si="22"/>
        <v>1351781.689454519</v>
      </c>
      <c r="V169" s="49">
        <f t="shared" si="22"/>
        <v>615609.13288463815</v>
      </c>
      <c r="W169" s="49">
        <f t="shared" si="22"/>
        <v>775393.72060949006</v>
      </c>
      <c r="X169" s="49">
        <f t="shared" si="22"/>
        <v>1391002.8534941282</v>
      </c>
      <c r="Y169" s="49"/>
      <c r="Z169" s="49">
        <f t="shared" ref="Z169:AB169" si="23">Z27+Z51+Z54+Z59+Z60+Z66+Z67+Z70+Z71+Z81+Z82+Z83+Z92+Z94+Z95+Z98+Z105+Z109+Z125+Z133+Z136+Z140+Z145+Z164</f>
        <v>623657.31564754748</v>
      </c>
      <c r="AA169" s="49">
        <f t="shared" si="23"/>
        <v>800870.19530710694</v>
      </c>
      <c r="AB169" s="49">
        <f t="shared" si="23"/>
        <v>1424527.5109546545</v>
      </c>
      <c r="AC169" s="49"/>
      <c r="AD169" s="49">
        <f t="shared" ref="AD169:AF169" si="24">AD27+AD51+AD54+AD59+AD60+AD66+AD67+AD70+AD71+AD81+AD82+AD83+AD92+AD94+AD95+AD98+AD105+AD109+AD125+AD133+AD136+AD140+AD145+AD164</f>
        <v>632362.96808875748</v>
      </c>
      <c r="AE169" s="49">
        <f t="shared" si="24"/>
        <v>824854.58892198326</v>
      </c>
      <c r="AF169" s="49">
        <f t="shared" si="24"/>
        <v>1457217.5570107405</v>
      </c>
      <c r="AG169" s="49"/>
    </row>
    <row r="170" spans="1:33" x14ac:dyDescent="0.3">
      <c r="D170" s="47">
        <f t="shared" ref="D170:X170" si="25">D168+D169</f>
        <v>2876047.0253304825</v>
      </c>
      <c r="E170" s="47">
        <f t="shared" si="25"/>
        <v>3083932.3305680119</v>
      </c>
      <c r="F170" s="47">
        <f t="shared" si="25"/>
        <v>5959979.355898492</v>
      </c>
      <c r="G170" s="47">
        <f t="shared" si="25"/>
        <v>2904285.0487654377</v>
      </c>
      <c r="H170" s="47">
        <f t="shared" si="25"/>
        <v>3068204.2756821136</v>
      </c>
      <c r="I170" s="47">
        <f t="shared" si="25"/>
        <v>5972489.3244475527</v>
      </c>
      <c r="J170" s="47">
        <f t="shared" si="25"/>
        <v>2927554.5366895823</v>
      </c>
      <c r="K170" s="47">
        <f t="shared" si="25"/>
        <v>2968794.4571500132</v>
      </c>
      <c r="L170" s="47">
        <f t="shared" si="25"/>
        <v>5896348.9938395955</v>
      </c>
      <c r="M170" s="47">
        <f t="shared" si="25"/>
        <v>2930297.6828692546</v>
      </c>
      <c r="N170" s="47">
        <f t="shared" si="25"/>
        <v>2937622.1153499386</v>
      </c>
      <c r="O170" s="47">
        <f t="shared" si="25"/>
        <v>5867919.7982191937</v>
      </c>
      <c r="P170" s="47">
        <f t="shared" si="25"/>
        <v>2941658.1215572478</v>
      </c>
      <c r="Q170" s="47">
        <f t="shared" si="25"/>
        <v>2780259.3394948724</v>
      </c>
      <c r="R170" s="47">
        <f t="shared" si="25"/>
        <v>5721917.4610521188</v>
      </c>
      <c r="S170" s="47">
        <f t="shared" si="25"/>
        <v>2895473.3854485559</v>
      </c>
      <c r="T170" s="47">
        <f t="shared" si="25"/>
        <v>2759377.0842849463</v>
      </c>
      <c r="U170" s="47">
        <f t="shared" si="25"/>
        <v>5654850.4697335036</v>
      </c>
      <c r="V170" s="47">
        <f t="shared" si="25"/>
        <v>2907344.6309872624</v>
      </c>
      <c r="W170" s="47">
        <f t="shared" si="25"/>
        <v>2887225.6421876987</v>
      </c>
      <c r="X170" s="47">
        <f t="shared" si="25"/>
        <v>5794570.2731749611</v>
      </c>
      <c r="Y170" s="47"/>
      <c r="Z170" s="47">
        <f t="shared" ref="Z170:AB170" si="26">Z168+Z169</f>
        <v>2932077.6491472488</v>
      </c>
      <c r="AA170" s="47">
        <f t="shared" si="26"/>
        <v>2982088.8440223569</v>
      </c>
      <c r="AB170" s="47">
        <f t="shared" si="26"/>
        <v>5914166.4931696076</v>
      </c>
      <c r="AC170" s="47"/>
      <c r="AD170" s="47">
        <f t="shared" ref="AD170:AF170" si="27">AD168+AD169</f>
        <v>2951790.4960124493</v>
      </c>
      <c r="AE170" s="47">
        <f t="shared" si="27"/>
        <v>3071396.1912662345</v>
      </c>
      <c r="AF170" s="47">
        <f t="shared" si="27"/>
        <v>6023186.6872786842</v>
      </c>
      <c r="AG170" s="47"/>
    </row>
    <row r="171" spans="1:33" x14ac:dyDescent="0.3">
      <c r="Z171" s="50"/>
      <c r="AA171" s="50"/>
      <c r="AB171" s="50"/>
      <c r="AD171" s="50"/>
      <c r="AE171" s="50"/>
      <c r="AF171" s="50"/>
    </row>
    <row r="172" spans="1:33" ht="14.5" x14ac:dyDescent="0.35">
      <c r="V172" s="51">
        <f>+V167/S167-1</f>
        <v>4.5842693187776451E-3</v>
      </c>
      <c r="W172" s="51">
        <f t="shared" ref="W172:X175" si="28">+W167/T167-1</f>
        <v>4.6332398218014603E-2</v>
      </c>
      <c r="X172" s="51">
        <f t="shared" si="28"/>
        <v>2.5536345071135891E-2</v>
      </c>
      <c r="Z172" s="52">
        <f>Z167/V167-1</f>
        <v>9.2081620035415757E-3</v>
      </c>
      <c r="AA172" s="52">
        <f t="shared" ref="AA172:AB175" si="29">AA167/W167-1</f>
        <v>3.2856178765015898E-2</v>
      </c>
      <c r="AB172" s="52">
        <f t="shared" si="29"/>
        <v>2.1317025430032555E-2</v>
      </c>
      <c r="AD172" s="52">
        <f>AD167/Z167-1</f>
        <v>7.6450414700590663E-3</v>
      </c>
      <c r="AE172" s="52">
        <f t="shared" ref="AE172:AF175" si="30">AE167/AA167-1</f>
        <v>2.9947916348266546E-2</v>
      </c>
      <c r="AF172" s="52">
        <f t="shared" si="30"/>
        <v>1.9194158562289898E-2</v>
      </c>
    </row>
    <row r="173" spans="1:33" ht="14.5" x14ac:dyDescent="0.35">
      <c r="V173" s="51">
        <f t="shared" ref="V173:V175" si="31">+V168/S168-1</f>
        <v>3.0572740230156992E-3</v>
      </c>
      <c r="W173" s="51">
        <f t="shared" si="28"/>
        <v>4.6332398218013937E-2</v>
      </c>
      <c r="X173" s="51">
        <f t="shared" si="28"/>
        <v>2.3355108768522426E-2</v>
      </c>
      <c r="Z173" s="52">
        <f t="shared" ref="Z173:Z175" si="32">Z168/V168-1</f>
        <v>7.2804367741785558E-3</v>
      </c>
      <c r="AA173" s="52">
        <f t="shared" si="29"/>
        <v>3.2856178765016342E-2</v>
      </c>
      <c r="AB173" s="52">
        <f t="shared" si="29"/>
        <v>1.954587141085673E-2</v>
      </c>
      <c r="AD173" s="52">
        <f t="shared" ref="AD173:AD175" si="33">AD168/Z168-1</f>
        <v>4.7682799636854512E-3</v>
      </c>
      <c r="AE173" s="52">
        <f t="shared" si="30"/>
        <v>2.9947916348265435E-2</v>
      </c>
      <c r="AF173" s="52">
        <f t="shared" si="30"/>
        <v>1.7001399968986641E-2</v>
      </c>
    </row>
    <row r="174" spans="1:33" ht="14.5" x14ac:dyDescent="0.35">
      <c r="V174" s="51">
        <f t="shared" si="31"/>
        <v>8.0005789189596666E-3</v>
      </c>
      <c r="W174" s="51">
        <f t="shared" si="28"/>
        <v>4.6332398218013937E-2</v>
      </c>
      <c r="X174" s="51">
        <f t="shared" si="28"/>
        <v>2.9014421741010654E-2</v>
      </c>
      <c r="Z174" s="52">
        <f t="shared" si="32"/>
        <v>1.3073527231795445E-2</v>
      </c>
      <c r="AA174" s="52">
        <f t="shared" si="29"/>
        <v>3.2856178765016786E-2</v>
      </c>
      <c r="AB174" s="52">
        <f t="shared" si="29"/>
        <v>2.4101070228802257E-2</v>
      </c>
      <c r="AD174" s="52">
        <f t="shared" si="33"/>
        <v>1.3959032024134732E-2</v>
      </c>
      <c r="AE174" s="52">
        <f t="shared" si="30"/>
        <v>2.9947916348265435E-2</v>
      </c>
      <c r="AF174" s="52">
        <f t="shared" si="30"/>
        <v>2.2947992091903124E-2</v>
      </c>
    </row>
    <row r="175" spans="1:33" ht="14.5" x14ac:dyDescent="0.35">
      <c r="V175" s="51">
        <f t="shared" si="31"/>
        <v>4.0999325355108862E-3</v>
      </c>
      <c r="W175" s="51">
        <f t="shared" si="28"/>
        <v>4.6332398218013937E-2</v>
      </c>
      <c r="X175" s="51">
        <f t="shared" si="28"/>
        <v>2.4707957211119957E-2</v>
      </c>
      <c r="Z175" s="52">
        <f t="shared" si="32"/>
        <v>8.5070816498240553E-3</v>
      </c>
      <c r="AA175" s="52">
        <f t="shared" si="29"/>
        <v>3.2856178765016342E-2</v>
      </c>
      <c r="AB175" s="52">
        <f t="shared" si="29"/>
        <v>2.0639359668877866E-2</v>
      </c>
      <c r="AD175" s="52">
        <f t="shared" si="33"/>
        <v>6.723166717953033E-3</v>
      </c>
      <c r="AE175" s="52">
        <f t="shared" si="30"/>
        <v>2.9947916348265657E-2</v>
      </c>
      <c r="AF175" s="52">
        <f t="shared" si="30"/>
        <v>1.8433737743938527E-2</v>
      </c>
    </row>
    <row r="176" spans="1:33" x14ac:dyDescent="0.3">
      <c r="A176" s="264" t="s">
        <v>380</v>
      </c>
      <c r="B176" s="265"/>
      <c r="C176" s="266"/>
      <c r="D176" s="33"/>
      <c r="E176" s="33"/>
      <c r="F176" s="33"/>
      <c r="G176" s="33"/>
      <c r="H176" s="33"/>
      <c r="I176" s="33"/>
      <c r="J176" s="33"/>
      <c r="K176" s="33"/>
      <c r="L176" s="34"/>
      <c r="M176" s="33"/>
      <c r="N176" s="33"/>
      <c r="O176" s="34"/>
      <c r="P176" s="33"/>
      <c r="Q176" s="33"/>
      <c r="R176" s="34">
        <v>464441.69911156967</v>
      </c>
      <c r="S176" s="33"/>
      <c r="T176" s="33"/>
      <c r="U176" s="34"/>
      <c r="V176" s="33"/>
      <c r="W176" s="33"/>
      <c r="X176" s="34"/>
      <c r="Y176" s="35"/>
      <c r="Z176" s="33"/>
      <c r="AA176" s="33"/>
      <c r="AB176" s="34"/>
      <c r="AC176" s="35"/>
      <c r="AD176" s="33"/>
      <c r="AE176" s="33"/>
      <c r="AF176" s="34">
        <v>490520.8888060078</v>
      </c>
      <c r="AG176" s="35"/>
    </row>
    <row r="177" spans="1:33" x14ac:dyDescent="0.3">
      <c r="A177" s="264" t="s">
        <v>381</v>
      </c>
      <c r="B177" s="265"/>
      <c r="C177" s="266"/>
      <c r="D177" s="33"/>
      <c r="E177" s="33"/>
      <c r="F177" s="33"/>
      <c r="G177" s="33"/>
      <c r="H177" s="33"/>
      <c r="I177" s="33"/>
      <c r="J177" s="33"/>
      <c r="K177" s="33"/>
      <c r="L177" s="34"/>
      <c r="M177" s="33"/>
      <c r="N177" s="33"/>
      <c r="O177" s="34"/>
      <c r="P177" s="33"/>
      <c r="Q177" s="33"/>
      <c r="R177" s="34">
        <v>7037608.2074499931</v>
      </c>
      <c r="S177" s="33"/>
      <c r="T177" s="33"/>
      <c r="U177" s="34"/>
      <c r="V177" s="33"/>
      <c r="W177" s="33"/>
      <c r="X177" s="34"/>
      <c r="Y177" s="35"/>
      <c r="Z177" s="33"/>
      <c r="AA177" s="33"/>
      <c r="AB177" s="34"/>
      <c r="AC177" s="35"/>
      <c r="AD177" s="33"/>
      <c r="AE177" s="33"/>
      <c r="AF177" s="34">
        <v>7432781.8531159665</v>
      </c>
      <c r="AG177" s="35"/>
    </row>
    <row r="178" spans="1:33" ht="14.5" x14ac:dyDescent="0.35">
      <c r="R178" s="53"/>
      <c r="Z178" s="30"/>
      <c r="AA178" s="30"/>
      <c r="AB178" s="30"/>
      <c r="AD178" s="30"/>
      <c r="AE178" s="30"/>
      <c r="AF178" s="30"/>
    </row>
    <row r="179" spans="1:33" x14ac:dyDescent="0.3">
      <c r="Z179" s="30"/>
      <c r="AA179" s="30"/>
      <c r="AB179" s="30"/>
      <c r="AD179" s="30"/>
      <c r="AE179" s="30"/>
      <c r="AF179" s="30"/>
    </row>
    <row r="180" spans="1:33" ht="50" x14ac:dyDescent="0.3">
      <c r="P180" s="24" t="s">
        <v>34</v>
      </c>
      <c r="Q180" s="24" t="s">
        <v>35</v>
      </c>
      <c r="R180" s="24" t="s">
        <v>36</v>
      </c>
      <c r="S180" s="25" t="s">
        <v>37</v>
      </c>
      <c r="T180" s="25" t="s">
        <v>38</v>
      </c>
      <c r="U180" s="25" t="s">
        <v>39</v>
      </c>
      <c r="V180" s="26" t="s">
        <v>40</v>
      </c>
      <c r="W180" s="26" t="s">
        <v>41</v>
      </c>
      <c r="X180" s="26" t="s">
        <v>42</v>
      </c>
      <c r="Y180" s="27" t="s">
        <v>43</v>
      </c>
      <c r="Z180" s="28" t="s">
        <v>44</v>
      </c>
      <c r="AA180" s="28" t="s">
        <v>45</v>
      </c>
      <c r="AB180" s="28" t="s">
        <v>46</v>
      </c>
      <c r="AC180" s="27" t="s">
        <v>47</v>
      </c>
      <c r="AD180" s="29" t="s">
        <v>48</v>
      </c>
      <c r="AE180" s="29" t="s">
        <v>49</v>
      </c>
      <c r="AF180" s="29" t="s">
        <v>50</v>
      </c>
      <c r="AG180" s="27" t="s">
        <v>51</v>
      </c>
    </row>
    <row r="185" spans="1:33" x14ac:dyDescent="0.3">
      <c r="Z185" s="47"/>
      <c r="AA185" s="47"/>
      <c r="AB185" s="47"/>
      <c r="AD185" s="47"/>
      <c r="AE185" s="47"/>
      <c r="AF185" s="47"/>
    </row>
    <row r="186" spans="1:33" x14ac:dyDescent="0.3">
      <c r="Z186" s="47"/>
      <c r="AA186" s="47"/>
      <c r="AB186" s="47"/>
      <c r="AD186" s="47"/>
      <c r="AE186" s="47"/>
      <c r="AF186" s="47"/>
    </row>
    <row r="187" spans="1:33" x14ac:dyDescent="0.3">
      <c r="Z187" s="47"/>
      <c r="AA187" s="47"/>
      <c r="AB187" s="47"/>
      <c r="AD187" s="47"/>
      <c r="AE187" s="47"/>
      <c r="AF187" s="47"/>
    </row>
    <row r="188" spans="1:33" x14ac:dyDescent="0.3">
      <c r="Z188" s="47"/>
      <c r="AA188" s="47"/>
      <c r="AB188" s="47"/>
      <c r="AD188" s="47"/>
      <c r="AE188" s="47"/>
      <c r="AF188" s="47"/>
    </row>
    <row r="189" spans="1:33" x14ac:dyDescent="0.3">
      <c r="Z189" s="47"/>
      <c r="AA189" s="47"/>
      <c r="AB189" s="47"/>
      <c r="AD189" s="47"/>
      <c r="AE189" s="47"/>
      <c r="AF189" s="47"/>
    </row>
    <row r="190" spans="1:33" x14ac:dyDescent="0.3">
      <c r="Z190" s="47"/>
      <c r="AA190" s="47"/>
      <c r="AB190" s="47"/>
      <c r="AD190" s="47"/>
      <c r="AE190" s="47"/>
      <c r="AF190" s="47"/>
    </row>
    <row r="191" spans="1:33" x14ac:dyDescent="0.3">
      <c r="Z191" s="47"/>
      <c r="AA191" s="47"/>
      <c r="AB191" s="47"/>
      <c r="AD191" s="47"/>
      <c r="AE191" s="47"/>
      <c r="AF191" s="47"/>
    </row>
    <row r="192" spans="1:33" x14ac:dyDescent="0.3">
      <c r="Z192" s="47"/>
      <c r="AA192" s="47"/>
      <c r="AB192" s="47"/>
      <c r="AD192" s="47"/>
      <c r="AE192" s="47"/>
      <c r="AF192" s="47"/>
    </row>
    <row r="199" spans="26:32" x14ac:dyDescent="0.3">
      <c r="Z199" s="54"/>
      <c r="AA199" s="54"/>
      <c r="AB199" s="54"/>
      <c r="AD199" s="54"/>
      <c r="AE199" s="54"/>
      <c r="AF199" s="54"/>
    </row>
    <row r="200" spans="26:32" x14ac:dyDescent="0.3">
      <c r="Z200" s="54"/>
      <c r="AA200" s="54"/>
      <c r="AB200" s="54"/>
      <c r="AD200" s="54"/>
      <c r="AE200" s="54"/>
      <c r="AF200" s="54"/>
    </row>
  </sheetData>
  <mergeCells count="2">
    <mergeCell ref="A176:C176"/>
    <mergeCell ref="A177:C17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7E18-5857-4FBE-A4B2-7A23345D497F}">
  <sheetPr>
    <tabColor theme="9" tint="0.79998168889431442"/>
  </sheetPr>
  <dimension ref="A1:Q167"/>
  <sheetViews>
    <sheetView topLeftCell="A137" zoomScale="80" zoomScaleNormal="80" workbookViewId="0">
      <selection activeCell="AD5" sqref="AD5"/>
    </sheetView>
  </sheetViews>
  <sheetFormatPr baseColWidth="10" defaultColWidth="11.453125" defaultRowHeight="13" x14ac:dyDescent="0.3"/>
  <cols>
    <col min="1" max="1" width="7" style="60" bestFit="1" customWidth="1"/>
    <col min="2" max="2" width="7.54296875" style="60" customWidth="1"/>
    <col min="3" max="3" width="20.90625" style="60" bestFit="1" customWidth="1"/>
    <col min="4" max="4" width="9" style="60" customWidth="1"/>
    <col min="5" max="6" width="10.54296875" style="60" customWidth="1"/>
    <col min="7" max="7" width="13" style="61" bestFit="1" customWidth="1"/>
    <col min="8" max="8" width="11.453125" style="82"/>
    <col min="9" max="15" width="11.453125" style="60"/>
    <col min="16" max="17" width="11.453125" style="82"/>
    <col min="18" max="16384" width="11.453125" style="60"/>
  </cols>
  <sheetData>
    <row r="1" spans="1:17" x14ac:dyDescent="0.3">
      <c r="I1" s="60" t="s">
        <v>382</v>
      </c>
      <c r="J1" s="60" t="s">
        <v>383</v>
      </c>
      <c r="K1" s="60" t="s">
        <v>384</v>
      </c>
      <c r="L1" s="60" t="s">
        <v>385</v>
      </c>
      <c r="M1" s="60" t="s">
        <v>386</v>
      </c>
      <c r="N1" s="60" t="s">
        <v>387</v>
      </c>
    </row>
    <row r="2" spans="1:17" ht="39" x14ac:dyDescent="0.3">
      <c r="I2" s="62">
        <v>6312651.1372427577</v>
      </c>
      <c r="J2" s="62">
        <v>1120130.7158732088</v>
      </c>
      <c r="K2" s="62">
        <v>3901193.4964926443</v>
      </c>
      <c r="L2" s="62">
        <v>278073.45039613609</v>
      </c>
      <c r="M2" s="62">
        <v>69151.871117286661</v>
      </c>
      <c r="N2" s="62">
        <v>23693.767927533445</v>
      </c>
      <c r="P2" s="83" t="s">
        <v>388</v>
      </c>
      <c r="Q2" s="83" t="s">
        <v>389</v>
      </c>
    </row>
    <row r="3" spans="1:17" ht="50.5" thickBot="1" x14ac:dyDescent="0.35">
      <c r="A3" s="63" t="s">
        <v>19</v>
      </c>
      <c r="B3" s="63" t="s">
        <v>20</v>
      </c>
      <c r="C3" s="63" t="s">
        <v>21</v>
      </c>
      <c r="D3" s="63" t="s">
        <v>390</v>
      </c>
      <c r="E3" s="63" t="s">
        <v>49</v>
      </c>
      <c r="F3" s="63" t="s">
        <v>50</v>
      </c>
      <c r="G3" s="64" t="s">
        <v>391</v>
      </c>
      <c r="I3" s="65">
        <f>I2/SUM($I$2:$N$2)</f>
        <v>0.53931722068185883</v>
      </c>
      <c r="J3" s="65">
        <f t="shared" ref="J3:N3" si="0">J2/SUM($I$2:$N$2)</f>
        <v>9.5697635011235793E-2</v>
      </c>
      <c r="K3" s="65">
        <f t="shared" si="0"/>
        <v>0.33329591452594254</v>
      </c>
      <c r="L3" s="65">
        <f t="shared" si="0"/>
        <v>2.3757023341315634E-2</v>
      </c>
      <c r="M3" s="65">
        <f t="shared" si="0"/>
        <v>5.9079448753150627E-3</v>
      </c>
      <c r="N3" s="65">
        <f t="shared" si="0"/>
        <v>2.0242615643321746E-3</v>
      </c>
      <c r="P3" s="84">
        <v>77007197</v>
      </c>
      <c r="Q3" s="84">
        <v>63797140.407642499</v>
      </c>
    </row>
    <row r="4" spans="1:17" x14ac:dyDescent="0.3">
      <c r="A4" s="66" t="s">
        <v>52</v>
      </c>
      <c r="B4" s="66">
        <v>8001</v>
      </c>
      <c r="C4" s="67" t="s">
        <v>53</v>
      </c>
      <c r="D4" s="68">
        <v>1229.6677522612106</v>
      </c>
      <c r="E4" s="69">
        <v>5560.4327641931477</v>
      </c>
      <c r="F4" s="70">
        <f t="shared" ref="F4:F67" si="1">D4+E4</f>
        <v>6790.1005164543585</v>
      </c>
      <c r="G4" s="67" t="s">
        <v>392</v>
      </c>
      <c r="H4" s="84">
        <f t="shared" ref="H4:H61" si="2">SUM(I4:N4)</f>
        <v>10692.821523117316</v>
      </c>
      <c r="I4" s="62">
        <f>$F4*I$3/SUM($I$3:$J$3)</f>
        <v>5766.8227850947915</v>
      </c>
      <c r="J4" s="62">
        <f t="shared" ref="J4:N19" si="3">$F4*J$3/SUM($I$3:$J$3)</f>
        <v>1023.2777313595674</v>
      </c>
      <c r="K4" s="62">
        <f>$F4*K$3/SUM($I$3:$J$3)</f>
        <v>3563.8737284100675</v>
      </c>
      <c r="L4" s="62">
        <f t="shared" si="3"/>
        <v>254.02961050922028</v>
      </c>
      <c r="M4" s="62">
        <f t="shared" si="3"/>
        <v>63.172600120159551</v>
      </c>
      <c r="N4" s="62">
        <f t="shared" si="3"/>
        <v>21.645067623510208</v>
      </c>
      <c r="P4" s="85">
        <f t="shared" ref="P4:P61" si="4">H4/$P$3</f>
        <v>1.388548335698716E-4</v>
      </c>
      <c r="Q4" s="86">
        <f t="shared" ref="Q4:Q61" si="5">I4/$Q$3</f>
        <v>9.0393123394664915E-5</v>
      </c>
    </row>
    <row r="5" spans="1:17" x14ac:dyDescent="0.3">
      <c r="A5" s="66" t="s">
        <v>54</v>
      </c>
      <c r="B5" s="66">
        <v>8003</v>
      </c>
      <c r="C5" s="67" t="s">
        <v>55</v>
      </c>
      <c r="D5" s="71">
        <v>1236.1001840663807</v>
      </c>
      <c r="E5" s="72">
        <v>2837.9657632036469</v>
      </c>
      <c r="F5" s="73">
        <f t="shared" si="1"/>
        <v>4074.0659472700277</v>
      </c>
      <c r="G5" s="67" t="s">
        <v>393</v>
      </c>
      <c r="H5" s="84">
        <f t="shared" si="2"/>
        <v>6415.7017914539019</v>
      </c>
      <c r="I5" s="62">
        <f t="shared" ref="I5:N36" si="6">$F5*I$3/SUM($I$3:$J$3)</f>
        <v>3460.0984588905412</v>
      </c>
      <c r="J5" s="62">
        <f t="shared" si="3"/>
        <v>613.96748837948701</v>
      </c>
      <c r="K5" s="62">
        <f>$F5*K$3/SUM($I$3:$J$3)</f>
        <v>2138.3271959083559</v>
      </c>
      <c r="L5" s="62">
        <f t="shared" si="3"/>
        <v>152.41797721049087</v>
      </c>
      <c r="M5" s="62">
        <f t="shared" si="3"/>
        <v>37.903612520369741</v>
      </c>
      <c r="N5" s="62">
        <f t="shared" si="3"/>
        <v>12.987058544657209</v>
      </c>
      <c r="P5" s="85">
        <f t="shared" si="4"/>
        <v>8.3313015424440161E-5</v>
      </c>
      <c r="Q5" s="86">
        <f t="shared" si="5"/>
        <v>5.4235949084577515E-5</v>
      </c>
    </row>
    <row r="6" spans="1:17" x14ac:dyDescent="0.3">
      <c r="A6" s="66" t="s">
        <v>56</v>
      </c>
      <c r="B6" s="66">
        <v>8005</v>
      </c>
      <c r="C6" s="67" t="s">
        <v>57</v>
      </c>
      <c r="D6" s="71">
        <v>6376.8882344568101</v>
      </c>
      <c r="E6" s="72">
        <v>9544.7037821568756</v>
      </c>
      <c r="F6" s="73">
        <f t="shared" si="1"/>
        <v>15921.592016613686</v>
      </c>
      <c r="G6" s="67" t="s">
        <v>394</v>
      </c>
      <c r="H6" s="84">
        <f t="shared" si="2"/>
        <v>25072.786681873567</v>
      </c>
      <c r="I6" s="62">
        <f t="shared" si="6"/>
        <v>13522.185628017178</v>
      </c>
      <c r="J6" s="62">
        <f t="shared" si="3"/>
        <v>2399.4063885965102</v>
      </c>
      <c r="K6" s="62">
        <f t="shared" si="3"/>
        <v>8356.6573668489236</v>
      </c>
      <c r="L6" s="62">
        <f t="shared" si="3"/>
        <v>595.65477843309804</v>
      </c>
      <c r="M6" s="62">
        <f t="shared" si="3"/>
        <v>148.12864158704267</v>
      </c>
      <c r="N6" s="62">
        <f t="shared" si="3"/>
        <v>50.75387839081629</v>
      </c>
      <c r="P6" s="85">
        <f t="shared" si="4"/>
        <v>3.2559017414792498E-4</v>
      </c>
      <c r="Q6" s="86">
        <f t="shared" si="5"/>
        <v>2.1195598331860818E-4</v>
      </c>
    </row>
    <row r="7" spans="1:17" x14ac:dyDescent="0.3">
      <c r="A7" s="66" t="s">
        <v>58</v>
      </c>
      <c r="B7" s="66">
        <v>8006</v>
      </c>
      <c r="C7" s="67" t="s">
        <v>59</v>
      </c>
      <c r="D7" s="71">
        <v>1870.9447993384654</v>
      </c>
      <c r="E7" s="72">
        <v>3172.3262555470815</v>
      </c>
      <c r="F7" s="73">
        <f t="shared" si="1"/>
        <v>5043.2710548855466</v>
      </c>
      <c r="G7" s="67" t="s">
        <v>393</v>
      </c>
      <c r="H7" s="84">
        <f t="shared" si="2"/>
        <v>7941.9733407354825</v>
      </c>
      <c r="I7" s="62">
        <f t="shared" si="6"/>
        <v>4283.2429888548777</v>
      </c>
      <c r="J7" s="62">
        <f t="shared" si="3"/>
        <v>760.02806603066927</v>
      </c>
      <c r="K7" s="62">
        <f t="shared" si="3"/>
        <v>2647.0272677410876</v>
      </c>
      <c r="L7" s="62">
        <f t="shared" si="3"/>
        <v>188.67764603195934</v>
      </c>
      <c r="M7" s="62">
        <f t="shared" si="3"/>
        <v>46.920740698287041</v>
      </c>
      <c r="N7" s="62">
        <f t="shared" si="3"/>
        <v>16.076631378601633</v>
      </c>
      <c r="P7" s="85">
        <f t="shared" si="4"/>
        <v>1.0313287134364185E-4</v>
      </c>
      <c r="Q7" s="86">
        <f t="shared" si="5"/>
        <v>6.7138479271741333E-5</v>
      </c>
    </row>
    <row r="8" spans="1:17" x14ac:dyDescent="0.3">
      <c r="A8" s="66" t="s">
        <v>60</v>
      </c>
      <c r="B8" s="66">
        <v>8007</v>
      </c>
      <c r="C8" s="67" t="s">
        <v>61</v>
      </c>
      <c r="D8" s="71">
        <v>1880.289088690557</v>
      </c>
      <c r="E8" s="72">
        <v>2996.7134626127095</v>
      </c>
      <c r="F8" s="73">
        <f t="shared" si="1"/>
        <v>4877.002551303267</v>
      </c>
      <c r="G8" s="67" t="s">
        <v>393</v>
      </c>
      <c r="H8" s="84">
        <f t="shared" si="2"/>
        <v>7680.139303166703</v>
      </c>
      <c r="I8" s="62">
        <f t="shared" si="6"/>
        <v>4142.0313834333738</v>
      </c>
      <c r="J8" s="62">
        <f t="shared" si="3"/>
        <v>734.97116786989386</v>
      </c>
      <c r="K8" s="62">
        <f t="shared" si="3"/>
        <v>2559.759052735581</v>
      </c>
      <c r="L8" s="62">
        <f t="shared" si="3"/>
        <v>182.45724868988694</v>
      </c>
      <c r="M8" s="62">
        <f t="shared" si="3"/>
        <v>45.373839637849507</v>
      </c>
      <c r="N8" s="62">
        <f t="shared" si="3"/>
        <v>15.546610800117246</v>
      </c>
      <c r="P8" s="85">
        <f t="shared" si="4"/>
        <v>9.9732747098517342E-5</v>
      </c>
      <c r="Q8" s="86">
        <f t="shared" si="5"/>
        <v>6.4925032015027191E-5</v>
      </c>
    </row>
    <row r="9" spans="1:17" x14ac:dyDescent="0.3">
      <c r="A9" s="66" t="s">
        <v>62</v>
      </c>
      <c r="B9" s="66">
        <v>8009</v>
      </c>
      <c r="C9" s="67" t="s">
        <v>63</v>
      </c>
      <c r="D9" s="71">
        <v>2053.3997290314546</v>
      </c>
      <c r="E9" s="72">
        <v>5511.8534094578454</v>
      </c>
      <c r="F9" s="73">
        <f t="shared" si="1"/>
        <v>7565.2531384893</v>
      </c>
      <c r="G9" s="67" t="s">
        <v>393</v>
      </c>
      <c r="H9" s="84">
        <f t="shared" si="2"/>
        <v>11913.505756069459</v>
      </c>
      <c r="I9" s="62">
        <f t="shared" si="6"/>
        <v>6425.1588129407082</v>
      </c>
      <c r="J9" s="62">
        <f t="shared" si="3"/>
        <v>1140.094325548592</v>
      </c>
      <c r="K9" s="62">
        <f t="shared" si="3"/>
        <v>3970.7227961792514</v>
      </c>
      <c r="L9" s="62">
        <f t="shared" si="3"/>
        <v>283.02943432384035</v>
      </c>
      <c r="M9" s="62">
        <f t="shared" si="3"/>
        <v>70.384335278607068</v>
      </c>
      <c r="N9" s="62">
        <f t="shared" si="3"/>
        <v>24.11605179846153</v>
      </c>
      <c r="P9" s="85">
        <f t="shared" si="4"/>
        <v>1.5470639395002858E-4</v>
      </c>
      <c r="Q9" s="86">
        <f t="shared" si="5"/>
        <v>1.0071233243192534E-4</v>
      </c>
    </row>
    <row r="10" spans="1:17" x14ac:dyDescent="0.3">
      <c r="A10" s="66" t="s">
        <v>64</v>
      </c>
      <c r="B10" s="66">
        <v>8013</v>
      </c>
      <c r="C10" s="67" t="s">
        <v>65</v>
      </c>
      <c r="D10" s="71">
        <v>227.11393118969559</v>
      </c>
      <c r="E10" s="72">
        <v>551.12026542650312</v>
      </c>
      <c r="F10" s="73">
        <f t="shared" si="1"/>
        <v>778.23419661619869</v>
      </c>
      <c r="G10" s="67" t="s">
        <v>395</v>
      </c>
      <c r="H10" s="84">
        <f t="shared" si="2"/>
        <v>1225.5369927791464</v>
      </c>
      <c r="I10" s="62">
        <f t="shared" si="6"/>
        <v>660.95320478845247</v>
      </c>
      <c r="J10" s="62">
        <f t="shared" si="3"/>
        <v>117.28099182774625</v>
      </c>
      <c r="K10" s="62">
        <f t="shared" si="3"/>
        <v>408.46647279369898</v>
      </c>
      <c r="L10" s="62">
        <f t="shared" si="3"/>
        <v>29.11511094309995</v>
      </c>
      <c r="M10" s="62">
        <f t="shared" si="3"/>
        <v>7.240404995998591</v>
      </c>
      <c r="N10" s="62">
        <f t="shared" si="3"/>
        <v>2.480807430150064</v>
      </c>
      <c r="P10" s="85">
        <f t="shared" si="4"/>
        <v>1.5914577345012913E-5</v>
      </c>
      <c r="Q10" s="86">
        <f t="shared" si="5"/>
        <v>1.0360232458150653E-5</v>
      </c>
    </row>
    <row r="11" spans="1:17" x14ac:dyDescent="0.3">
      <c r="A11" s="66" t="s">
        <v>66</v>
      </c>
      <c r="B11" s="66">
        <v>8014</v>
      </c>
      <c r="C11" s="67" t="s">
        <v>67</v>
      </c>
      <c r="D11" s="71">
        <v>351.89151505789732</v>
      </c>
      <c r="E11" s="72">
        <v>703.45051235376184</v>
      </c>
      <c r="F11" s="73">
        <f t="shared" si="1"/>
        <v>1055.3420274116593</v>
      </c>
      <c r="G11" s="67" t="s">
        <v>394</v>
      </c>
      <c r="H11" s="84">
        <f t="shared" si="2"/>
        <v>1661.9170684751834</v>
      </c>
      <c r="I11" s="62">
        <f t="shared" si="6"/>
        <v>896.30049437377841</v>
      </c>
      <c r="J11" s="62">
        <f t="shared" si="3"/>
        <v>159.04153303788107</v>
      </c>
      <c r="K11" s="62">
        <f t="shared" si="3"/>
        <v>553.91016920370964</v>
      </c>
      <c r="L11" s="62">
        <f t="shared" si="3"/>
        <v>39.482202587095784</v>
      </c>
      <c r="M11" s="62">
        <f t="shared" si="3"/>
        <v>9.8185144278965897</v>
      </c>
      <c r="N11" s="62">
        <f t="shared" si="3"/>
        <v>3.3641548448219161</v>
      </c>
      <c r="P11" s="85">
        <f t="shared" si="4"/>
        <v>2.1581321398767228E-5</v>
      </c>
      <c r="Q11" s="86">
        <f t="shared" si="5"/>
        <v>1.4049226793657466E-5</v>
      </c>
    </row>
    <row r="12" spans="1:17" x14ac:dyDescent="0.3">
      <c r="A12" s="74" t="s">
        <v>68</v>
      </c>
      <c r="B12" s="74">
        <v>8015</v>
      </c>
      <c r="C12" s="75" t="s">
        <v>69</v>
      </c>
      <c r="D12" s="71">
        <v>104268.91147078099</v>
      </c>
      <c r="E12" s="72">
        <v>160368.1172173908</v>
      </c>
      <c r="F12" s="73">
        <f t="shared" si="1"/>
        <v>264637.02868817176</v>
      </c>
      <c r="G12" s="67" t="s">
        <v>396</v>
      </c>
      <c r="H12" s="84">
        <f t="shared" si="2"/>
        <v>416741.47670030571</v>
      </c>
      <c r="I12" s="62">
        <f t="shared" si="6"/>
        <v>224755.85495686249</v>
      </c>
      <c r="J12" s="62">
        <f t="shared" si="3"/>
        <v>39881.173731309282</v>
      </c>
      <c r="K12" s="62">
        <f t="shared" si="3"/>
        <v>138898.23159772015</v>
      </c>
      <c r="L12" s="62">
        <f t="shared" si="3"/>
        <v>9900.5369892635081</v>
      </c>
      <c r="M12" s="62">
        <f t="shared" si="3"/>
        <v>2462.0856716028029</v>
      </c>
      <c r="N12" s="62">
        <f t="shared" si="3"/>
        <v>843.59375354746135</v>
      </c>
      <c r="P12" s="85">
        <f t="shared" si="4"/>
        <v>5.4117211499115558E-3</v>
      </c>
      <c r="Q12" s="86">
        <f t="shared" si="5"/>
        <v>3.5229769472541772E-3</v>
      </c>
    </row>
    <row r="13" spans="1:17" x14ac:dyDescent="0.3">
      <c r="A13" s="74" t="s">
        <v>70</v>
      </c>
      <c r="B13" s="74">
        <v>8019</v>
      </c>
      <c r="C13" s="75" t="s">
        <v>71</v>
      </c>
      <c r="D13" s="71">
        <v>1990767.39224318</v>
      </c>
      <c r="E13" s="72">
        <v>1581483.6191555567</v>
      </c>
      <c r="F13" s="73">
        <f t="shared" si="1"/>
        <v>3572251.0113987364</v>
      </c>
      <c r="G13" s="67" t="s">
        <v>396</v>
      </c>
      <c r="H13" s="84">
        <f>SUM(I13:N13)</f>
        <v>5625460.5374542922</v>
      </c>
      <c r="I13" s="62">
        <f>$F13*I$3/SUM($I$3:$J$3)</f>
        <v>3033907.7421153253</v>
      </c>
      <c r="J13" s="62">
        <f t="shared" si="3"/>
        <v>538343.26928341133</v>
      </c>
      <c r="K13" s="62">
        <f t="shared" si="3"/>
        <v>1874943.0144604289</v>
      </c>
      <c r="L13" s="62">
        <f t="shared" si="3"/>
        <v>133644.19729395164</v>
      </c>
      <c r="M13" s="62">
        <f t="shared" si="3"/>
        <v>33234.910753540207</v>
      </c>
      <c r="N13" s="62">
        <f t="shared" si="3"/>
        <v>11387.403547636144</v>
      </c>
      <c r="P13" s="85">
        <f t="shared" si="4"/>
        <v>7.3051101151679274E-2</v>
      </c>
      <c r="Q13" s="86">
        <f t="shared" si="5"/>
        <v>4.7555544382235068E-2</v>
      </c>
    </row>
    <row r="14" spans="1:17" x14ac:dyDescent="0.3">
      <c r="A14" s="66" t="s">
        <v>72</v>
      </c>
      <c r="B14" s="66">
        <v>8020</v>
      </c>
      <c r="C14" s="67" t="s">
        <v>73</v>
      </c>
      <c r="D14" s="71">
        <v>1973.8841149370357</v>
      </c>
      <c r="E14" s="72">
        <v>2279.5407260758843</v>
      </c>
      <c r="F14" s="73">
        <f t="shared" si="1"/>
        <v>4253.4248410129203</v>
      </c>
      <c r="G14" s="67" t="s">
        <v>392</v>
      </c>
      <c r="H14" s="84">
        <f t="shared" si="2"/>
        <v>6698.1501344097969</v>
      </c>
      <c r="I14" s="62">
        <f t="shared" si="6"/>
        <v>3612.4277141997113</v>
      </c>
      <c r="J14" s="62">
        <f t="shared" si="3"/>
        <v>640.99712681320887</v>
      </c>
      <c r="K14" s="62">
        <f t="shared" si="3"/>
        <v>2232.4660746801787</v>
      </c>
      <c r="L14" s="62">
        <f t="shared" si="3"/>
        <v>159.12810908681004</v>
      </c>
      <c r="M14" s="62">
        <f t="shared" si="3"/>
        <v>39.572301760677263</v>
      </c>
      <c r="N14" s="62">
        <f t="shared" si="3"/>
        <v>13.558807869212144</v>
      </c>
      <c r="P14" s="85">
        <f t="shared" si="4"/>
        <v>8.698083290071961E-5</v>
      </c>
      <c r="Q14" s="86">
        <f t="shared" si="5"/>
        <v>5.6623661987316367E-5</v>
      </c>
    </row>
    <row r="15" spans="1:17" x14ac:dyDescent="0.3">
      <c r="A15" s="66" t="s">
        <v>74</v>
      </c>
      <c r="B15" s="66">
        <v>8023</v>
      </c>
      <c r="C15" s="67" t="s">
        <v>75</v>
      </c>
      <c r="D15" s="71">
        <v>4916.1802597656351</v>
      </c>
      <c r="E15" s="72">
        <v>5836.767835641821</v>
      </c>
      <c r="F15" s="73">
        <f t="shared" si="1"/>
        <v>10752.948095407457</v>
      </c>
      <c r="G15" s="67" t="s">
        <v>394</v>
      </c>
      <c r="H15" s="84">
        <f t="shared" si="2"/>
        <v>16933.380375284327</v>
      </c>
      <c r="I15" s="62">
        <f t="shared" si="6"/>
        <v>9132.4636407470753</v>
      </c>
      <c r="J15" s="62">
        <f t="shared" si="3"/>
        <v>1620.4844546603827</v>
      </c>
      <c r="K15" s="62">
        <f t="shared" si="3"/>
        <v>5643.8264981960383</v>
      </c>
      <c r="L15" s="62">
        <f t="shared" si="3"/>
        <v>402.28671282300587</v>
      </c>
      <c r="M15" s="62">
        <f t="shared" si="3"/>
        <v>100.04147780992169</v>
      </c>
      <c r="N15" s="62">
        <f t="shared" si="3"/>
        <v>34.277591047904799</v>
      </c>
      <c r="P15" s="85">
        <f t="shared" si="4"/>
        <v>2.19893477947059E-4</v>
      </c>
      <c r="Q15" s="86">
        <f t="shared" si="5"/>
        <v>1.4314847942076511E-4</v>
      </c>
    </row>
    <row r="16" spans="1:17" x14ac:dyDescent="0.3">
      <c r="A16" s="66" t="s">
        <v>76</v>
      </c>
      <c r="B16" s="66">
        <v>8027</v>
      </c>
      <c r="C16" s="67" t="s">
        <v>77</v>
      </c>
      <c r="D16" s="71">
        <v>88.763069381784931</v>
      </c>
      <c r="E16" s="72">
        <v>500.73197709707449</v>
      </c>
      <c r="F16" s="73">
        <f t="shared" si="1"/>
        <v>589.49504647885942</v>
      </c>
      <c r="G16" s="67" t="s">
        <v>395</v>
      </c>
      <c r="H16" s="84">
        <f t="shared" si="2"/>
        <v>928.31693809028764</v>
      </c>
      <c r="I16" s="62">
        <f t="shared" si="6"/>
        <v>500.65731096274715</v>
      </c>
      <c r="J16" s="62">
        <f t="shared" si="3"/>
        <v>88.837735516112318</v>
      </c>
      <c r="K16" s="62">
        <f t="shared" si="3"/>
        <v>309.40424285072521</v>
      </c>
      <c r="L16" s="62">
        <f t="shared" si="3"/>
        <v>22.054047166349626</v>
      </c>
      <c r="M16" s="62">
        <f t="shared" si="3"/>
        <v>5.4844452970586852</v>
      </c>
      <c r="N16" s="62">
        <f t="shared" si="3"/>
        <v>1.8791562972947</v>
      </c>
      <c r="P16" s="85">
        <f t="shared" si="4"/>
        <v>1.2054937385791196E-5</v>
      </c>
      <c r="Q16" s="86">
        <f t="shared" si="5"/>
        <v>7.8476450161200575E-6</v>
      </c>
    </row>
    <row r="17" spans="1:17" x14ac:dyDescent="0.3">
      <c r="A17" s="66" t="s">
        <v>78</v>
      </c>
      <c r="B17" s="66">
        <v>8029</v>
      </c>
      <c r="C17" s="67" t="s">
        <v>79</v>
      </c>
      <c r="D17" s="71">
        <v>373.1585727113337</v>
      </c>
      <c r="E17" s="72">
        <v>2696.1524910710932</v>
      </c>
      <c r="F17" s="73">
        <f t="shared" si="1"/>
        <v>3069.311063782427</v>
      </c>
      <c r="G17" s="67" t="s">
        <v>393</v>
      </c>
      <c r="H17" s="84">
        <f t="shared" si="2"/>
        <v>4833.4476528622172</v>
      </c>
      <c r="I17" s="62">
        <f t="shared" si="6"/>
        <v>2606.7615544529044</v>
      </c>
      <c r="J17" s="62">
        <f t="shared" si="3"/>
        <v>462.54950932952272</v>
      </c>
      <c r="K17" s="62">
        <f t="shared" si="3"/>
        <v>1610.9683557739829</v>
      </c>
      <c r="L17" s="62">
        <f t="shared" si="3"/>
        <v>114.82832870807493</v>
      </c>
      <c r="M17" s="62">
        <f t="shared" si="3"/>
        <v>28.555742290830949</v>
      </c>
      <c r="N17" s="62">
        <f t="shared" si="3"/>
        <v>9.7841623069005479</v>
      </c>
      <c r="P17" s="85">
        <f t="shared" si="4"/>
        <v>6.2766180839723555E-5</v>
      </c>
      <c r="Q17" s="86">
        <f t="shared" si="5"/>
        <v>4.0860162975904024E-5</v>
      </c>
    </row>
    <row r="18" spans="1:17" x14ac:dyDescent="0.3">
      <c r="A18" s="66" t="s">
        <v>80</v>
      </c>
      <c r="B18" s="66">
        <v>8030</v>
      </c>
      <c r="C18" s="67" t="s">
        <v>81</v>
      </c>
      <c r="D18" s="71">
        <v>1294.8910546737688</v>
      </c>
      <c r="E18" s="72">
        <v>3987.4230900555613</v>
      </c>
      <c r="F18" s="73">
        <f t="shared" si="1"/>
        <v>5282.3141447293301</v>
      </c>
      <c r="G18" s="67" t="s">
        <v>393</v>
      </c>
      <c r="H18" s="84">
        <f t="shared" si="2"/>
        <v>8318.4103448475798</v>
      </c>
      <c r="I18" s="62">
        <f t="shared" si="6"/>
        <v>4486.2619476744194</v>
      </c>
      <c r="J18" s="62">
        <f t="shared" si="3"/>
        <v>796.05219705491163</v>
      </c>
      <c r="K18" s="62">
        <f t="shared" si="3"/>
        <v>2772.4921832880345</v>
      </c>
      <c r="L18" s="62">
        <f t="shared" si="3"/>
        <v>197.62066872518537</v>
      </c>
      <c r="M18" s="62">
        <f t="shared" si="3"/>
        <v>49.144709767610053</v>
      </c>
      <c r="N18" s="62">
        <f t="shared" si="3"/>
        <v>16.838638337418104</v>
      </c>
      <c r="P18" s="85">
        <f t="shared" si="4"/>
        <v>1.080212067041939E-4</v>
      </c>
      <c r="Q18" s="86">
        <f t="shared" si="5"/>
        <v>7.0320737246351456E-5</v>
      </c>
    </row>
    <row r="19" spans="1:17" x14ac:dyDescent="0.3">
      <c r="A19" s="66" t="s">
        <v>82</v>
      </c>
      <c r="B19" s="66">
        <v>8032</v>
      </c>
      <c r="C19" s="67" t="s">
        <v>83</v>
      </c>
      <c r="D19" s="71">
        <v>147.92834197874174</v>
      </c>
      <c r="E19" s="72">
        <v>637.76844170658603</v>
      </c>
      <c r="F19" s="73">
        <f t="shared" si="1"/>
        <v>785.69678368532777</v>
      </c>
      <c r="G19" s="67" t="s">
        <v>393</v>
      </c>
      <c r="H19" s="84">
        <f t="shared" si="2"/>
        <v>1237.2888234681841</v>
      </c>
      <c r="I19" s="62">
        <f t="shared" si="6"/>
        <v>667.29116945358817</v>
      </c>
      <c r="J19" s="62">
        <f t="shared" si="3"/>
        <v>118.40561423173966</v>
      </c>
      <c r="K19" s="62">
        <f t="shared" si="3"/>
        <v>412.38330995055594</v>
      </c>
      <c r="L19" s="62">
        <f t="shared" si="3"/>
        <v>29.394299459082614</v>
      </c>
      <c r="M19" s="62">
        <f t="shared" si="3"/>
        <v>7.3098341638934627</v>
      </c>
      <c r="N19" s="62">
        <f t="shared" si="3"/>
        <v>2.5045962093244225</v>
      </c>
      <c r="P19" s="85">
        <f t="shared" si="4"/>
        <v>1.6067184259000938E-5</v>
      </c>
      <c r="Q19" s="86">
        <f t="shared" si="5"/>
        <v>1.0459578049890946E-5</v>
      </c>
    </row>
    <row r="20" spans="1:17" x14ac:dyDescent="0.3">
      <c r="A20" s="66" t="s">
        <v>84</v>
      </c>
      <c r="B20" s="66">
        <v>8033</v>
      </c>
      <c r="C20" s="67" t="s">
        <v>85</v>
      </c>
      <c r="D20" s="71">
        <v>7254.9544015302263</v>
      </c>
      <c r="E20" s="72">
        <v>8256.7030031242593</v>
      </c>
      <c r="F20" s="73">
        <f t="shared" si="1"/>
        <v>15511.657404654485</v>
      </c>
      <c r="G20" s="67" t="s">
        <v>394</v>
      </c>
      <c r="H20" s="84">
        <f t="shared" si="2"/>
        <v>24427.235466364171</v>
      </c>
      <c r="I20" s="62">
        <f t="shared" si="6"/>
        <v>13174.028740660851</v>
      </c>
      <c r="J20" s="62">
        <f t="shared" si="6"/>
        <v>2337.6286639936325</v>
      </c>
      <c r="K20" s="62">
        <f t="shared" si="6"/>
        <v>8141.4977841023847</v>
      </c>
      <c r="L20" s="62">
        <f t="shared" si="6"/>
        <v>580.3184031382267</v>
      </c>
      <c r="M20" s="62">
        <f t="shared" si="6"/>
        <v>144.31476059162054</v>
      </c>
      <c r="N20" s="62">
        <f t="shared" si="6"/>
        <v>49.447113877452715</v>
      </c>
      <c r="P20" s="85">
        <f t="shared" si="4"/>
        <v>3.1720717566650517E-4</v>
      </c>
      <c r="Q20" s="86">
        <f t="shared" si="5"/>
        <v>2.0649873421415429E-4</v>
      </c>
    </row>
    <row r="21" spans="1:17" x14ac:dyDescent="0.3">
      <c r="A21" s="66" t="s">
        <v>86</v>
      </c>
      <c r="B21" s="66">
        <v>8035</v>
      </c>
      <c r="C21" s="67" t="s">
        <v>87</v>
      </c>
      <c r="D21" s="71">
        <v>2830.4460472309461</v>
      </c>
      <c r="E21" s="72">
        <v>4989.6978683503248</v>
      </c>
      <c r="F21" s="73">
        <f t="shared" si="1"/>
        <v>7820.1439155812714</v>
      </c>
      <c r="G21" s="67" t="s">
        <v>393</v>
      </c>
      <c r="H21" s="84">
        <f t="shared" si="2"/>
        <v>12314.899164124094</v>
      </c>
      <c r="I21" s="62">
        <f t="shared" si="6"/>
        <v>6641.6371901727525</v>
      </c>
      <c r="J21" s="62">
        <f t="shared" si="6"/>
        <v>1178.5067254085202</v>
      </c>
      <c r="K21" s="62">
        <f t="shared" si="6"/>
        <v>4104.5055792015046</v>
      </c>
      <c r="L21" s="62">
        <f t="shared" si="6"/>
        <v>292.56534688804447</v>
      </c>
      <c r="M21" s="62">
        <f t="shared" si="6"/>
        <v>72.755745406708684</v>
      </c>
      <c r="N21" s="62">
        <f t="shared" si="6"/>
        <v>24.928577046562825</v>
      </c>
      <c r="P21" s="85">
        <f t="shared" si="4"/>
        <v>1.5991880816184094E-4</v>
      </c>
      <c r="Q21" s="86">
        <f t="shared" si="5"/>
        <v>1.0410556253360105E-4</v>
      </c>
    </row>
    <row r="22" spans="1:17" x14ac:dyDescent="0.3">
      <c r="A22" s="66" t="s">
        <v>88</v>
      </c>
      <c r="B22" s="66">
        <v>8039</v>
      </c>
      <c r="C22" s="67" t="s">
        <v>89</v>
      </c>
      <c r="D22" s="71">
        <v>66.239781493186484</v>
      </c>
      <c r="E22" s="72">
        <v>218.6814316201247</v>
      </c>
      <c r="F22" s="73">
        <f t="shared" si="1"/>
        <v>284.92121311331118</v>
      </c>
      <c r="G22" s="67" t="s">
        <v>394</v>
      </c>
      <c r="H22" s="84">
        <f t="shared" si="2"/>
        <v>448.6843269238646</v>
      </c>
      <c r="I22" s="62">
        <f t="shared" si="6"/>
        <v>241.98318416008919</v>
      </c>
      <c r="J22" s="62">
        <f t="shared" si="6"/>
        <v>42.938028953221995</v>
      </c>
      <c r="K22" s="62">
        <f t="shared" si="6"/>
        <v>149.54465307554645</v>
      </c>
      <c r="L22" s="62">
        <f t="shared" si="6"/>
        <v>10.659404027612746</v>
      </c>
      <c r="M22" s="62">
        <f t="shared" si="6"/>
        <v>2.6508022698840343</v>
      </c>
      <c r="N22" s="62">
        <f t="shared" si="6"/>
        <v>0.90825443751023105</v>
      </c>
      <c r="P22" s="85">
        <f t="shared" si="4"/>
        <v>5.8265245899531257E-6</v>
      </c>
      <c r="Q22" s="86">
        <f t="shared" si="5"/>
        <v>3.7930098843599757E-6</v>
      </c>
    </row>
    <row r="23" spans="1:17" x14ac:dyDescent="0.3">
      <c r="A23" s="66" t="s">
        <v>90</v>
      </c>
      <c r="B23" s="66">
        <v>8040</v>
      </c>
      <c r="C23" s="67" t="s">
        <v>91</v>
      </c>
      <c r="D23" s="71">
        <v>1809.3098466611773</v>
      </c>
      <c r="E23" s="72">
        <v>2239.9760601807488</v>
      </c>
      <c r="F23" s="73">
        <f t="shared" si="1"/>
        <v>4049.2859068419261</v>
      </c>
      <c r="G23" s="67" t="s">
        <v>393</v>
      </c>
      <c r="H23" s="84">
        <f t="shared" si="2"/>
        <v>6376.6790186700191</v>
      </c>
      <c r="I23" s="62">
        <f t="shared" si="6"/>
        <v>3439.0528055294376</v>
      </c>
      <c r="J23" s="62">
        <f t="shared" si="6"/>
        <v>610.23310131248877</v>
      </c>
      <c r="K23" s="62">
        <f t="shared" si="6"/>
        <v>2125.3210651660138</v>
      </c>
      <c r="L23" s="62">
        <f t="shared" si="6"/>
        <v>151.4909122866213</v>
      </c>
      <c r="M23" s="62">
        <f t="shared" si="6"/>
        <v>37.673068129880619</v>
      </c>
      <c r="N23" s="62">
        <f t="shared" si="6"/>
        <v>12.90806624557713</v>
      </c>
      <c r="P23" s="85">
        <f t="shared" si="4"/>
        <v>8.2806273531420949E-5</v>
      </c>
      <c r="Q23" s="86">
        <f t="shared" si="5"/>
        <v>5.3906065123844653E-5</v>
      </c>
    </row>
    <row r="24" spans="1:17" x14ac:dyDescent="0.3">
      <c r="A24" s="66" t="s">
        <v>92</v>
      </c>
      <c r="B24" s="66">
        <v>8041</v>
      </c>
      <c r="C24" s="67" t="s">
        <v>93</v>
      </c>
      <c r="D24" s="71">
        <v>3522.5806211093809</v>
      </c>
      <c r="E24" s="72">
        <v>8000.0764095683298</v>
      </c>
      <c r="F24" s="73">
        <f t="shared" si="1"/>
        <v>11522.65703067771</v>
      </c>
      <c r="G24" s="67" t="s">
        <v>394</v>
      </c>
      <c r="H24" s="84">
        <f t="shared" si="2"/>
        <v>18145.492073726633</v>
      </c>
      <c r="I24" s="62">
        <f t="shared" si="6"/>
        <v>9786.1763531069464</v>
      </c>
      <c r="J24" s="62">
        <f t="shared" si="6"/>
        <v>1736.4806775707636</v>
      </c>
      <c r="K24" s="62">
        <f t="shared" si="6"/>
        <v>6047.81837523596</v>
      </c>
      <c r="L24" s="62">
        <f t="shared" si="6"/>
        <v>431.08287873518151</v>
      </c>
      <c r="M24" s="62">
        <f t="shared" si="6"/>
        <v>107.20256690704336</v>
      </c>
      <c r="N24" s="62">
        <f t="shared" si="6"/>
        <v>36.731222170738953</v>
      </c>
      <c r="P24" s="85">
        <f t="shared" si="4"/>
        <v>2.356337171151241E-4</v>
      </c>
      <c r="Q24" s="86">
        <f t="shared" si="5"/>
        <v>1.5339521944990851E-4</v>
      </c>
    </row>
    <row r="25" spans="1:17" x14ac:dyDescent="0.3">
      <c r="A25" s="66" t="s">
        <v>94</v>
      </c>
      <c r="B25" s="66">
        <v>8042</v>
      </c>
      <c r="C25" s="67" t="s">
        <v>95</v>
      </c>
      <c r="D25" s="71">
        <v>805.06527134630801</v>
      </c>
      <c r="E25" s="72">
        <v>1914.8877750627944</v>
      </c>
      <c r="F25" s="73">
        <f t="shared" si="1"/>
        <v>2719.9530464091022</v>
      </c>
      <c r="G25" s="67" t="s">
        <v>394</v>
      </c>
      <c r="H25" s="84">
        <f t="shared" si="2"/>
        <v>4283.2904175767308</v>
      </c>
      <c r="I25" s="62">
        <f t="shared" si="6"/>
        <v>2310.0522833807208</v>
      </c>
      <c r="J25" s="62">
        <f t="shared" si="6"/>
        <v>409.90076302838173</v>
      </c>
      <c r="K25" s="62">
        <f t="shared" si="6"/>
        <v>1427.6031969064427</v>
      </c>
      <c r="L25" s="62">
        <f t="shared" si="6"/>
        <v>101.75823042800397</v>
      </c>
      <c r="M25" s="62">
        <f t="shared" si="6"/>
        <v>25.305443672008561</v>
      </c>
      <c r="N25" s="62">
        <f t="shared" si="6"/>
        <v>8.6705001611728854</v>
      </c>
      <c r="P25" s="85">
        <f t="shared" si="4"/>
        <v>5.5621949433852665E-5</v>
      </c>
      <c r="Q25" s="86">
        <f t="shared" si="5"/>
        <v>3.6209338986359821E-5</v>
      </c>
    </row>
    <row r="26" spans="1:17" x14ac:dyDescent="0.3">
      <c r="A26" s="66" t="s">
        <v>96</v>
      </c>
      <c r="B26" s="66">
        <v>8043</v>
      </c>
      <c r="C26" s="67" t="s">
        <v>97</v>
      </c>
      <c r="D26" s="71">
        <v>1485.1602160071052</v>
      </c>
      <c r="E26" s="72">
        <v>3076.9036095166375</v>
      </c>
      <c r="F26" s="73">
        <f t="shared" si="1"/>
        <v>4562.0638255237427</v>
      </c>
      <c r="G26" s="67" t="s">
        <v>397</v>
      </c>
      <c r="H26" s="84">
        <f t="shared" si="2"/>
        <v>7184.1844086378478</v>
      </c>
      <c r="I26" s="62">
        <f t="shared" si="6"/>
        <v>3874.5543681325075</v>
      </c>
      <c r="J26" s="62">
        <f t="shared" si="6"/>
        <v>687.50945739123563</v>
      </c>
      <c r="K26" s="62">
        <f t="shared" si="6"/>
        <v>2394.4593125999691</v>
      </c>
      <c r="L26" s="62">
        <f t="shared" si="6"/>
        <v>170.67483668432521</v>
      </c>
      <c r="M26" s="62">
        <f t="shared" si="6"/>
        <v>42.443765460330347</v>
      </c>
      <c r="N26" s="62">
        <f t="shared" si="6"/>
        <v>14.542668369480069</v>
      </c>
      <c r="P26" s="85">
        <f t="shared" si="4"/>
        <v>9.3292376407855067E-5</v>
      </c>
      <c r="Q26" s="86">
        <f t="shared" si="5"/>
        <v>6.0732414389977269E-5</v>
      </c>
    </row>
    <row r="27" spans="1:17" x14ac:dyDescent="0.3">
      <c r="A27" s="66" t="s">
        <v>98</v>
      </c>
      <c r="B27" s="66">
        <v>8046</v>
      </c>
      <c r="C27" s="67" t="s">
        <v>99</v>
      </c>
      <c r="D27" s="71">
        <v>1508.9029993859215</v>
      </c>
      <c r="E27" s="72">
        <v>4317.7150496463446</v>
      </c>
      <c r="F27" s="73">
        <f t="shared" si="1"/>
        <v>5826.6180490322658</v>
      </c>
      <c r="G27" s="67" t="s">
        <v>394</v>
      </c>
      <c r="H27" s="84">
        <f t="shared" si="2"/>
        <v>9175.5617948067284</v>
      </c>
      <c r="I27" s="62">
        <f t="shared" si="6"/>
        <v>4948.5384853698124</v>
      </c>
      <c r="J27" s="62">
        <f t="shared" si="6"/>
        <v>878.07956366245378</v>
      </c>
      <c r="K27" s="62">
        <f t="shared" si="6"/>
        <v>3058.177259689407</v>
      </c>
      <c r="L27" s="62">
        <f t="shared" si="6"/>
        <v>217.9840357289074</v>
      </c>
      <c r="M27" s="62">
        <f t="shared" si="6"/>
        <v>54.208713283765086</v>
      </c>
      <c r="N27" s="62">
        <f t="shared" si="6"/>
        <v>18.573737072382002</v>
      </c>
      <c r="P27" s="85">
        <f t="shared" si="4"/>
        <v>1.1915200334855363E-4</v>
      </c>
      <c r="Q27" s="86">
        <f t="shared" si="5"/>
        <v>7.7566775779451836E-5</v>
      </c>
    </row>
    <row r="28" spans="1:17" x14ac:dyDescent="0.3">
      <c r="A28" s="66" t="s">
        <v>100</v>
      </c>
      <c r="B28" s="66">
        <v>8051</v>
      </c>
      <c r="C28" s="67" t="s">
        <v>101</v>
      </c>
      <c r="D28" s="71">
        <v>4466.6009172770819</v>
      </c>
      <c r="E28" s="72">
        <v>8681.4585481069116</v>
      </c>
      <c r="F28" s="73">
        <f t="shared" si="1"/>
        <v>13148.059465383994</v>
      </c>
      <c r="G28" s="67" t="s">
        <v>398</v>
      </c>
      <c r="H28" s="84">
        <f t="shared" si="2"/>
        <v>20705.121065291281</v>
      </c>
      <c r="I28" s="62">
        <f t="shared" si="6"/>
        <v>11166.628346814301</v>
      </c>
      <c r="J28" s="62">
        <f t="shared" si="6"/>
        <v>1981.4311185696945</v>
      </c>
      <c r="K28" s="62">
        <f t="shared" si="6"/>
        <v>6900.9322608266148</v>
      </c>
      <c r="L28" s="62">
        <f t="shared" si="6"/>
        <v>491.89204443289094</v>
      </c>
      <c r="M28" s="62">
        <f t="shared" si="6"/>
        <v>122.32471389046556</v>
      </c>
      <c r="N28" s="62">
        <f t="shared" si="6"/>
        <v>41.912580757313584</v>
      </c>
      <c r="P28" s="85">
        <f t="shared" si="4"/>
        <v>2.6887254531925478E-4</v>
      </c>
      <c r="Q28" s="86">
        <f t="shared" si="5"/>
        <v>1.7503336788237311E-4</v>
      </c>
    </row>
    <row r="29" spans="1:17" x14ac:dyDescent="0.3">
      <c r="A29" s="76" t="s">
        <v>102</v>
      </c>
      <c r="B29" s="76">
        <v>8054</v>
      </c>
      <c r="C29" s="77" t="s">
        <v>103</v>
      </c>
      <c r="D29" s="71">
        <v>2826.6657845828681</v>
      </c>
      <c r="E29" s="72">
        <v>6658.5757812267666</v>
      </c>
      <c r="F29" s="73">
        <f t="shared" si="1"/>
        <v>9485.2415658096343</v>
      </c>
      <c r="G29" s="67" t="s">
        <v>398</v>
      </c>
      <c r="H29" s="84">
        <f t="shared" si="2"/>
        <v>14937.03884369265</v>
      </c>
      <c r="I29" s="62">
        <f t="shared" si="6"/>
        <v>8055.8022743972851</v>
      </c>
      <c r="J29" s="62">
        <f t="shared" si="6"/>
        <v>1429.4392914123505</v>
      </c>
      <c r="K29" s="62">
        <f t="shared" si="6"/>
        <v>4978.4540217180684</v>
      </c>
      <c r="L29" s="62">
        <f t="shared" si="6"/>
        <v>354.85958045974451</v>
      </c>
      <c r="M29" s="62">
        <f t="shared" si="6"/>
        <v>88.24720208897601</v>
      </c>
      <c r="N29" s="62">
        <f t="shared" si="6"/>
        <v>30.236473616223734</v>
      </c>
      <c r="P29" s="85">
        <f t="shared" si="4"/>
        <v>1.9396938761051969E-4</v>
      </c>
      <c r="Q29" s="86">
        <f t="shared" si="5"/>
        <v>1.2627215299813424E-4</v>
      </c>
    </row>
    <row r="30" spans="1:17" x14ac:dyDescent="0.3">
      <c r="A30" s="66" t="s">
        <v>104</v>
      </c>
      <c r="B30" s="66">
        <v>8055</v>
      </c>
      <c r="C30" s="67" t="s">
        <v>105</v>
      </c>
      <c r="D30" s="71">
        <v>111.6888034212144</v>
      </c>
      <c r="E30" s="72">
        <v>190.95967309085128</v>
      </c>
      <c r="F30" s="73">
        <f t="shared" si="1"/>
        <v>302.64847651206571</v>
      </c>
      <c r="G30" s="67" t="s">
        <v>394</v>
      </c>
      <c r="H30" s="84">
        <f t="shared" si="2"/>
        <v>476.60062406215121</v>
      </c>
      <c r="I30" s="62">
        <f t="shared" si="6"/>
        <v>257.03892394443881</v>
      </c>
      <c r="J30" s="62">
        <f t="shared" si="6"/>
        <v>45.609552567626942</v>
      </c>
      <c r="K30" s="62">
        <f t="shared" si="6"/>
        <v>158.8490408604296</v>
      </c>
      <c r="L30" s="62">
        <f t="shared" si="6"/>
        <v>11.322612150330121</v>
      </c>
      <c r="M30" s="62">
        <f t="shared" si="6"/>
        <v>2.8157302144999465</v>
      </c>
      <c r="N30" s="62">
        <f t="shared" si="6"/>
        <v>0.9647643248257407</v>
      </c>
      <c r="P30" s="85">
        <f t="shared" si="4"/>
        <v>6.1890400200146387E-6</v>
      </c>
      <c r="Q30" s="86">
        <f t="shared" si="5"/>
        <v>4.0290038440915319E-6</v>
      </c>
    </row>
    <row r="31" spans="1:17" x14ac:dyDescent="0.3">
      <c r="A31" s="74" t="s">
        <v>106</v>
      </c>
      <c r="B31" s="74">
        <v>8056</v>
      </c>
      <c r="C31" s="75" t="s">
        <v>107</v>
      </c>
      <c r="D31" s="71">
        <v>27772.014450419367</v>
      </c>
      <c r="E31" s="72">
        <v>41312.306737900093</v>
      </c>
      <c r="F31" s="73">
        <f t="shared" si="1"/>
        <v>69084.32118831946</v>
      </c>
      <c r="G31" s="67" t="s">
        <v>392</v>
      </c>
      <c r="H31" s="84">
        <f t="shared" si="2"/>
        <v>108791.6614374581</v>
      </c>
      <c r="I31" s="62">
        <f t="shared" si="6"/>
        <v>58673.216479811665</v>
      </c>
      <c r="J31" s="62">
        <f t="shared" si="6"/>
        <v>10411.104708507801</v>
      </c>
      <c r="K31" s="62">
        <f t="shared" si="6"/>
        <v>36259.81629159431</v>
      </c>
      <c r="L31" s="62">
        <f t="shared" si="6"/>
        <v>2584.5660401102</v>
      </c>
      <c r="M31" s="62">
        <f t="shared" si="6"/>
        <v>642.73513866644191</v>
      </c>
      <c r="N31" s="62">
        <f t="shared" si="6"/>
        <v>220.22277876768524</v>
      </c>
      <c r="P31" s="85">
        <f t="shared" si="4"/>
        <v>1.4127466740213657E-3</v>
      </c>
      <c r="Q31" s="86">
        <f t="shared" si="5"/>
        <v>9.1968411287573918E-4</v>
      </c>
    </row>
    <row r="32" spans="1:17" x14ac:dyDescent="0.3">
      <c r="A32" s="66" t="s">
        <v>108</v>
      </c>
      <c r="B32" s="66">
        <v>8058</v>
      </c>
      <c r="C32" s="67" t="s">
        <v>109</v>
      </c>
      <c r="D32" s="71">
        <v>859.01124136410158</v>
      </c>
      <c r="E32" s="72">
        <v>4956.8941259936364</v>
      </c>
      <c r="F32" s="73">
        <f t="shared" si="1"/>
        <v>5815.9053673577382</v>
      </c>
      <c r="G32" s="67" t="s">
        <v>395</v>
      </c>
      <c r="H32" s="84">
        <f t="shared" si="2"/>
        <v>9158.6918246343994</v>
      </c>
      <c r="I32" s="62">
        <f t="shared" si="6"/>
        <v>4939.4402199434862</v>
      </c>
      <c r="J32" s="62">
        <f t="shared" si="6"/>
        <v>876.46514741425187</v>
      </c>
      <c r="K32" s="62">
        <f t="shared" si="6"/>
        <v>3052.5545675527956</v>
      </c>
      <c r="L32" s="62">
        <f t="shared" si="6"/>
        <v>217.58325545375612</v>
      </c>
      <c r="M32" s="62">
        <f t="shared" si="6"/>
        <v>54.109046429938765</v>
      </c>
      <c r="N32" s="62">
        <f t="shared" si="6"/>
        <v>18.539587840170725</v>
      </c>
      <c r="P32" s="85">
        <f t="shared" si="4"/>
        <v>1.1893293330277167E-4</v>
      </c>
      <c r="Q32" s="86">
        <f t="shared" si="5"/>
        <v>7.7424163346226908E-5</v>
      </c>
    </row>
    <row r="33" spans="1:17" x14ac:dyDescent="0.3">
      <c r="A33" s="66" t="s">
        <v>110</v>
      </c>
      <c r="B33" s="66">
        <v>8064</v>
      </c>
      <c r="C33" s="67" t="s">
        <v>111</v>
      </c>
      <c r="D33" s="71">
        <v>194.69323182692202</v>
      </c>
      <c r="E33" s="72">
        <v>565.40465754114393</v>
      </c>
      <c r="F33" s="73">
        <f t="shared" si="1"/>
        <v>760.09788936806592</v>
      </c>
      <c r="G33" s="67" t="s">
        <v>394</v>
      </c>
      <c r="H33" s="84">
        <f t="shared" si="2"/>
        <v>1196.9765471682515</v>
      </c>
      <c r="I33" s="62">
        <f t="shared" si="6"/>
        <v>645.55006464014934</v>
      </c>
      <c r="J33" s="62">
        <f t="shared" si="6"/>
        <v>114.54782472791661</v>
      </c>
      <c r="K33" s="62">
        <f t="shared" si="6"/>
        <v>398.94739295454741</v>
      </c>
      <c r="L33" s="62">
        <f t="shared" si="6"/>
        <v>28.43659977008355</v>
      </c>
      <c r="M33" s="62">
        <f t="shared" si="6"/>
        <v>7.0716714577149915</v>
      </c>
      <c r="N33" s="62">
        <f t="shared" si="6"/>
        <v>2.42299361783973</v>
      </c>
      <c r="P33" s="85">
        <f t="shared" si="4"/>
        <v>1.5543697132207674E-5</v>
      </c>
      <c r="Q33" s="86">
        <f t="shared" si="5"/>
        <v>1.0118793107579731E-5</v>
      </c>
    </row>
    <row r="34" spans="1:17" x14ac:dyDescent="0.3">
      <c r="A34" s="66" t="s">
        <v>112</v>
      </c>
      <c r="B34" s="66">
        <v>8065</v>
      </c>
      <c r="C34" s="67" t="s">
        <v>113</v>
      </c>
      <c r="D34" s="71">
        <v>536.00358720225483</v>
      </c>
      <c r="E34" s="72">
        <v>504.69634888138739</v>
      </c>
      <c r="F34" s="73">
        <f t="shared" si="1"/>
        <v>1040.6999360836421</v>
      </c>
      <c r="G34" s="67" t="s">
        <v>395</v>
      </c>
      <c r="H34" s="84">
        <f t="shared" si="2"/>
        <v>1638.8591963691274</v>
      </c>
      <c r="I34" s="62">
        <f t="shared" si="6"/>
        <v>883.86498687470237</v>
      </c>
      <c r="J34" s="62">
        <f t="shared" si="6"/>
        <v>156.83494920893992</v>
      </c>
      <c r="K34" s="62">
        <f t="shared" si="6"/>
        <v>546.22507463309944</v>
      </c>
      <c r="L34" s="62">
        <f t="shared" si="6"/>
        <v>38.934416181271132</v>
      </c>
      <c r="M34" s="62">
        <f t="shared" si="6"/>
        <v>9.6822897905519465</v>
      </c>
      <c r="N34" s="62">
        <f t="shared" si="6"/>
        <v>3.3174796805623394</v>
      </c>
      <c r="P34" s="85">
        <f t="shared" si="4"/>
        <v>2.1281896500779366E-5</v>
      </c>
      <c r="Q34" s="86">
        <f t="shared" si="5"/>
        <v>1.38543041463473E-5</v>
      </c>
    </row>
    <row r="35" spans="1:17" x14ac:dyDescent="0.3">
      <c r="A35" s="66" t="s">
        <v>114</v>
      </c>
      <c r="B35" s="66">
        <v>8066</v>
      </c>
      <c r="C35" s="67" t="s">
        <v>115</v>
      </c>
      <c r="D35" s="71">
        <v>173.90831514623676</v>
      </c>
      <c r="E35" s="72">
        <v>639.46794019422657</v>
      </c>
      <c r="F35" s="73">
        <f t="shared" si="1"/>
        <v>813.37625534046333</v>
      </c>
      <c r="G35" s="67" t="s">
        <v>392</v>
      </c>
      <c r="H35" s="84">
        <f t="shared" si="2"/>
        <v>1280.8775228615621</v>
      </c>
      <c r="I35" s="62">
        <f t="shared" si="6"/>
        <v>690.79930566356177</v>
      </c>
      <c r="J35" s="62">
        <f t="shared" si="6"/>
        <v>122.57694967690161</v>
      </c>
      <c r="K35" s="62">
        <f t="shared" si="6"/>
        <v>426.91124537786817</v>
      </c>
      <c r="L35" s="62">
        <f t="shared" si="6"/>
        <v>30.429837207988683</v>
      </c>
      <c r="M35" s="62">
        <f t="shared" si="6"/>
        <v>7.5673537970962181</v>
      </c>
      <c r="N35" s="62">
        <f t="shared" si="6"/>
        <v>2.5928311381456668</v>
      </c>
      <c r="P35" s="85">
        <f t="shared" si="4"/>
        <v>1.6633218358299187E-5</v>
      </c>
      <c r="Q35" s="86">
        <f t="shared" si="5"/>
        <v>1.082806065051794E-5</v>
      </c>
    </row>
    <row r="36" spans="1:17" x14ac:dyDescent="0.3">
      <c r="A36" s="66" t="s">
        <v>116</v>
      </c>
      <c r="B36" s="66">
        <v>8068</v>
      </c>
      <c r="C36" s="67" t="s">
        <v>117</v>
      </c>
      <c r="D36" s="71">
        <v>2336.9081026167869</v>
      </c>
      <c r="E36" s="72">
        <v>3386.7244270244519</v>
      </c>
      <c r="F36" s="73">
        <f t="shared" si="1"/>
        <v>5723.6325296412388</v>
      </c>
      <c r="G36" s="67" t="s">
        <v>392</v>
      </c>
      <c r="H36" s="84">
        <f t="shared" si="2"/>
        <v>9013.3836686294726</v>
      </c>
      <c r="I36" s="62">
        <f t="shared" si="6"/>
        <v>4861.0730291045029</v>
      </c>
      <c r="J36" s="62">
        <f t="shared" si="6"/>
        <v>862.55950053673655</v>
      </c>
      <c r="K36" s="62">
        <f t="shared" si="6"/>
        <v>3004.1239528090546</v>
      </c>
      <c r="L36" s="62">
        <f t="shared" si="6"/>
        <v>214.13116619986346</v>
      </c>
      <c r="M36" s="62">
        <f t="shared" si="6"/>
        <v>53.250573854327961</v>
      </c>
      <c r="N36" s="62">
        <f t="shared" si="6"/>
        <v>18.245446124985968</v>
      </c>
      <c r="P36" s="85">
        <f t="shared" si="4"/>
        <v>1.1704599076148003E-4</v>
      </c>
      <c r="Q36" s="86">
        <f t="shared" si="5"/>
        <v>7.6195782413504169E-5</v>
      </c>
    </row>
    <row r="37" spans="1:17" x14ac:dyDescent="0.3">
      <c r="A37" s="66" t="s">
        <v>118</v>
      </c>
      <c r="B37" s="66">
        <v>8069</v>
      </c>
      <c r="C37" s="67" t="s">
        <v>119</v>
      </c>
      <c r="D37" s="71">
        <v>807.03568282292053</v>
      </c>
      <c r="E37" s="72">
        <v>2141.1358416578819</v>
      </c>
      <c r="F37" s="73">
        <f t="shared" si="1"/>
        <v>2948.1715244808024</v>
      </c>
      <c r="G37" s="67" t="s">
        <v>392</v>
      </c>
      <c r="H37" s="84">
        <f t="shared" si="2"/>
        <v>4642.6811877699856</v>
      </c>
      <c r="I37" s="62">
        <f t="shared" ref="I37:N68" si="7">$F37*I$3/SUM($I$3:$J$3)</f>
        <v>2503.8779147000596</v>
      </c>
      <c r="J37" s="62">
        <f t="shared" si="7"/>
        <v>444.29360978074277</v>
      </c>
      <c r="K37" s="62">
        <f t="shared" si="7"/>
        <v>1547.3866723301865</v>
      </c>
      <c r="L37" s="62">
        <f t="shared" si="7"/>
        <v>110.29628534413854</v>
      </c>
      <c r="M37" s="62">
        <f t="shared" si="7"/>
        <v>27.428704531007334</v>
      </c>
      <c r="N37" s="62">
        <f t="shared" si="7"/>
        <v>9.3980010838508292</v>
      </c>
      <c r="P37" s="85">
        <f t="shared" si="4"/>
        <v>6.0288925822997892E-5</v>
      </c>
      <c r="Q37" s="86">
        <f t="shared" si="5"/>
        <v>3.9247494459800435E-5</v>
      </c>
    </row>
    <row r="38" spans="1:17" x14ac:dyDescent="0.3">
      <c r="A38" s="66" t="s">
        <v>120</v>
      </c>
      <c r="B38" s="66">
        <v>8072</v>
      </c>
      <c r="C38" s="67" t="s">
        <v>121</v>
      </c>
      <c r="D38" s="71">
        <v>5923.3035129721929</v>
      </c>
      <c r="E38" s="72">
        <v>7807.8037806029979</v>
      </c>
      <c r="F38" s="73">
        <f t="shared" si="1"/>
        <v>13731.107293575191</v>
      </c>
      <c r="G38" s="67" t="s">
        <v>392</v>
      </c>
      <c r="H38" s="84">
        <f t="shared" si="2"/>
        <v>21623.28514124006</v>
      </c>
      <c r="I38" s="62">
        <f t="shared" si="7"/>
        <v>11661.810044384922</v>
      </c>
      <c r="J38" s="62">
        <f t="shared" si="7"/>
        <v>2069.2972491902692</v>
      </c>
      <c r="K38" s="62">
        <f t="shared" si="7"/>
        <v>7206.9525962048301</v>
      </c>
      <c r="L38" s="62">
        <f t="shared" si="7"/>
        <v>513.70488981636356</v>
      </c>
      <c r="M38" s="62">
        <f t="shared" si="7"/>
        <v>127.74917663766553</v>
      </c>
      <c r="N38" s="62">
        <f t="shared" si="7"/>
        <v>43.771185006007265</v>
      </c>
      <c r="P38" s="85">
        <f t="shared" si="4"/>
        <v>2.8079563967560147E-4</v>
      </c>
      <c r="Q38" s="86">
        <f t="shared" si="5"/>
        <v>1.8279518439023813E-4</v>
      </c>
    </row>
    <row r="39" spans="1:17" x14ac:dyDescent="0.3">
      <c r="A39" s="74" t="s">
        <v>122</v>
      </c>
      <c r="B39" s="74">
        <v>8073</v>
      </c>
      <c r="C39" s="75" t="s">
        <v>123</v>
      </c>
      <c r="D39" s="71">
        <v>27397.809759369644</v>
      </c>
      <c r="E39" s="72">
        <v>68709.852107575512</v>
      </c>
      <c r="F39" s="73">
        <f t="shared" si="1"/>
        <v>96107.661866945156</v>
      </c>
      <c r="G39" s="67" t="s">
        <v>392</v>
      </c>
      <c r="H39" s="84">
        <f t="shared" si="2"/>
        <v>151347.1078752123</v>
      </c>
      <c r="I39" s="62">
        <f t="shared" si="7"/>
        <v>81624.101577496956</v>
      </c>
      <c r="J39" s="62">
        <f t="shared" si="7"/>
        <v>14483.560289448196</v>
      </c>
      <c r="K39" s="62">
        <f t="shared" si="7"/>
        <v>50443.37273012536</v>
      </c>
      <c r="L39" s="62">
        <f t="shared" si="7"/>
        <v>3595.5567744320338</v>
      </c>
      <c r="M39" s="62">
        <f t="shared" si="7"/>
        <v>894.15037036511649</v>
      </c>
      <c r="N39" s="62">
        <f t="shared" si="7"/>
        <v>306.36613334462766</v>
      </c>
      <c r="P39" s="85">
        <f t="shared" si="4"/>
        <v>1.9653631578774684E-3</v>
      </c>
      <c r="Q39" s="86">
        <f t="shared" si="5"/>
        <v>1.2794319785486639E-3</v>
      </c>
    </row>
    <row r="40" spans="1:17" x14ac:dyDescent="0.3">
      <c r="A40" s="66" t="s">
        <v>124</v>
      </c>
      <c r="B40" s="66">
        <v>8074</v>
      </c>
      <c r="C40" s="67" t="s">
        <v>125</v>
      </c>
      <c r="D40" s="71">
        <v>2076.9309943957651</v>
      </c>
      <c r="E40" s="72">
        <v>3839.2330853645531</v>
      </c>
      <c r="F40" s="73">
        <f t="shared" si="1"/>
        <v>5916.1640797603177</v>
      </c>
      <c r="G40" s="67" t="s">
        <v>397</v>
      </c>
      <c r="H40" s="84">
        <f t="shared" si="2"/>
        <v>9316.575867037076</v>
      </c>
      <c r="I40" s="62">
        <f t="shared" si="7"/>
        <v>5024.5898028821157</v>
      </c>
      <c r="J40" s="62">
        <f t="shared" si="7"/>
        <v>891.574276878202</v>
      </c>
      <c r="K40" s="62">
        <f t="shared" si="7"/>
        <v>3105.1766738544488</v>
      </c>
      <c r="L40" s="62">
        <f t="shared" si="7"/>
        <v>221.33411033433779</v>
      </c>
      <c r="M40" s="62">
        <f t="shared" si="7"/>
        <v>55.041816649145694</v>
      </c>
      <c r="N40" s="62">
        <f t="shared" si="7"/>
        <v>18.859186438827862</v>
      </c>
      <c r="P40" s="85">
        <f t="shared" si="4"/>
        <v>1.209831837800443E-4</v>
      </c>
      <c r="Q40" s="86">
        <f t="shared" si="5"/>
        <v>7.8758856130175414E-5</v>
      </c>
    </row>
    <row r="41" spans="1:17" x14ac:dyDescent="0.3">
      <c r="A41" s="66" t="s">
        <v>126</v>
      </c>
      <c r="B41" s="66">
        <v>8075</v>
      </c>
      <c r="C41" s="67" t="s">
        <v>127</v>
      </c>
      <c r="D41" s="71">
        <v>2291.3281011304639</v>
      </c>
      <c r="E41" s="72">
        <v>5406.745044446975</v>
      </c>
      <c r="F41" s="73">
        <f t="shared" si="1"/>
        <v>7698.0731455774385</v>
      </c>
      <c r="G41" s="67" t="s">
        <v>393</v>
      </c>
      <c r="H41" s="84">
        <f t="shared" si="2"/>
        <v>12122.666228296792</v>
      </c>
      <c r="I41" s="62">
        <f t="shared" si="7"/>
        <v>6537.9626574988588</v>
      </c>
      <c r="J41" s="62">
        <f t="shared" si="7"/>
        <v>1160.1104880785808</v>
      </c>
      <c r="K41" s="62">
        <f t="shared" si="7"/>
        <v>4040.4351270529378</v>
      </c>
      <c r="L41" s="62">
        <f t="shared" si="7"/>
        <v>287.99846454462562</v>
      </c>
      <c r="M41" s="62">
        <f t="shared" si="7"/>
        <v>71.620043818621014</v>
      </c>
      <c r="N41" s="62">
        <f t="shared" si="7"/>
        <v>24.539447303168888</v>
      </c>
      <c r="P41" s="85">
        <f t="shared" si="4"/>
        <v>1.5742250985056359E-4</v>
      </c>
      <c r="Q41" s="86">
        <f t="shared" si="5"/>
        <v>1.0248049702108046E-4</v>
      </c>
    </row>
    <row r="42" spans="1:17" x14ac:dyDescent="0.3">
      <c r="A42" s="66" t="s">
        <v>128</v>
      </c>
      <c r="B42" s="66">
        <v>8076</v>
      </c>
      <c r="C42" s="67" t="s">
        <v>129</v>
      </c>
      <c r="D42" s="71">
        <v>4288.0925632941917</v>
      </c>
      <c r="E42" s="72">
        <v>7318.5109664101083</v>
      </c>
      <c r="F42" s="73">
        <f t="shared" si="1"/>
        <v>11606.6035297043</v>
      </c>
      <c r="G42" s="67" t="s">
        <v>392</v>
      </c>
      <c r="H42" s="84">
        <f t="shared" si="2"/>
        <v>18277.688192091402</v>
      </c>
      <c r="I42" s="62">
        <f t="shared" si="7"/>
        <v>9857.4719962483632</v>
      </c>
      <c r="J42" s="62">
        <f t="shared" si="7"/>
        <v>1749.131533455937</v>
      </c>
      <c r="K42" s="62">
        <f t="shared" si="7"/>
        <v>6091.8788014031252</v>
      </c>
      <c r="L42" s="62">
        <f t="shared" si="7"/>
        <v>434.22346500480455</v>
      </c>
      <c r="M42" s="62">
        <f t="shared" si="7"/>
        <v>107.98357428707303</v>
      </c>
      <c r="N42" s="62">
        <f t="shared" si="7"/>
        <v>36.998821692098659</v>
      </c>
      <c r="P42" s="85">
        <f t="shared" si="4"/>
        <v>2.3735038936804052E-4</v>
      </c>
      <c r="Q42" s="86">
        <f t="shared" si="5"/>
        <v>1.5451275610885374E-4</v>
      </c>
    </row>
    <row r="43" spans="1:17" x14ac:dyDescent="0.3">
      <c r="A43" s="74" t="s">
        <v>130</v>
      </c>
      <c r="B43" s="74">
        <v>8077</v>
      </c>
      <c r="C43" s="75" t="s">
        <v>131</v>
      </c>
      <c r="D43" s="71">
        <v>6951.5402587489743</v>
      </c>
      <c r="E43" s="72">
        <v>23661.272504897679</v>
      </c>
      <c r="F43" s="73">
        <f t="shared" si="1"/>
        <v>30612.812763646652</v>
      </c>
      <c r="G43" s="67" t="s">
        <v>392</v>
      </c>
      <c r="H43" s="84">
        <f t="shared" si="2"/>
        <v>48208.026141741109</v>
      </c>
      <c r="I43" s="62">
        <f t="shared" si="7"/>
        <v>25999.418673322205</v>
      </c>
      <c r="J43" s="62">
        <f t="shared" si="7"/>
        <v>4613.3940903244529</v>
      </c>
      <c r="K43" s="62">
        <f t="shared" si="7"/>
        <v>16067.538160402144</v>
      </c>
      <c r="L43" s="62">
        <f t="shared" si="7"/>
        <v>1145.2792022880974</v>
      </c>
      <c r="M43" s="62">
        <f t="shared" si="7"/>
        <v>284.81036099315389</v>
      </c>
      <c r="N43" s="62">
        <f t="shared" si="7"/>
        <v>97.585654411047202</v>
      </c>
      <c r="P43" s="85">
        <f t="shared" si="4"/>
        <v>6.2601974905983284E-4</v>
      </c>
      <c r="Q43" s="86">
        <f t="shared" si="5"/>
        <v>4.0753266537018072E-4</v>
      </c>
    </row>
    <row r="44" spans="1:17" x14ac:dyDescent="0.3">
      <c r="A44" s="66" t="s">
        <v>132</v>
      </c>
      <c r="B44" s="66">
        <v>8081</v>
      </c>
      <c r="C44" s="67" t="s">
        <v>133</v>
      </c>
      <c r="D44" s="71">
        <v>53.059850040492634</v>
      </c>
      <c r="E44" s="72">
        <v>236.54695805356724</v>
      </c>
      <c r="F44" s="73">
        <f t="shared" si="1"/>
        <v>289.60680809405989</v>
      </c>
      <c r="G44" s="67" t="s">
        <v>394</v>
      </c>
      <c r="H44" s="84">
        <f t="shared" si="2"/>
        <v>456.06304403377317</v>
      </c>
      <c r="I44" s="62">
        <f t="shared" si="7"/>
        <v>245.96265336400276</v>
      </c>
      <c r="J44" s="62">
        <f t="shared" si="7"/>
        <v>43.644154730057174</v>
      </c>
      <c r="K44" s="62">
        <f t="shared" si="7"/>
        <v>152.0039493427216</v>
      </c>
      <c r="L44" s="62">
        <f t="shared" si="7"/>
        <v>10.834700382221808</v>
      </c>
      <c r="M44" s="62">
        <f t="shared" si="7"/>
        <v>2.6943953238199176</v>
      </c>
      <c r="N44" s="62">
        <f t="shared" si="7"/>
        <v>0.92319089094989903</v>
      </c>
      <c r="P44" s="85">
        <f t="shared" si="4"/>
        <v>5.9223431289645975E-6</v>
      </c>
      <c r="Q44" s="86">
        <f t="shared" si="5"/>
        <v>3.8553868056214315E-6</v>
      </c>
    </row>
    <row r="45" spans="1:17" x14ac:dyDescent="0.3">
      <c r="A45" s="66" t="s">
        <v>134</v>
      </c>
      <c r="B45" s="66">
        <v>8085</v>
      </c>
      <c r="C45" s="67" t="s">
        <v>135</v>
      </c>
      <c r="D45" s="71">
        <v>142.76905465099736</v>
      </c>
      <c r="E45" s="72">
        <v>837.28244068505512</v>
      </c>
      <c r="F45" s="73">
        <f t="shared" si="1"/>
        <v>980.05149533605254</v>
      </c>
      <c r="G45" s="67" t="s">
        <v>395</v>
      </c>
      <c r="H45" s="84">
        <f t="shared" si="2"/>
        <v>1543.3520752303716</v>
      </c>
      <c r="I45" s="62">
        <f t="shared" si="7"/>
        <v>832.35635174682318</v>
      </c>
      <c r="J45" s="62">
        <f t="shared" si="7"/>
        <v>147.69514358922942</v>
      </c>
      <c r="K45" s="62">
        <f t="shared" si="7"/>
        <v>514.39294134941804</v>
      </c>
      <c r="L45" s="62">
        <f t="shared" si="7"/>
        <v>36.665451275115863</v>
      </c>
      <c r="M45" s="62">
        <f t="shared" si="7"/>
        <v>9.1180389836641424</v>
      </c>
      <c r="N45" s="62">
        <f t="shared" si="7"/>
        <v>3.1241482861211405</v>
      </c>
      <c r="P45" s="85">
        <f t="shared" si="4"/>
        <v>2.004166020002483E-5</v>
      </c>
      <c r="Q45" s="86">
        <f t="shared" si="5"/>
        <v>1.3046922580359293E-5</v>
      </c>
    </row>
    <row r="46" spans="1:17" x14ac:dyDescent="0.3">
      <c r="A46" s="66" t="s">
        <v>136</v>
      </c>
      <c r="B46" s="66">
        <v>8086</v>
      </c>
      <c r="C46" s="67" t="s">
        <v>137</v>
      </c>
      <c r="D46" s="71">
        <v>2463.0898898878136</v>
      </c>
      <c r="E46" s="72">
        <v>6859.3048694662202</v>
      </c>
      <c r="F46" s="73">
        <f t="shared" si="1"/>
        <v>9322.3947593540342</v>
      </c>
      <c r="G46" s="67" t="s">
        <v>394</v>
      </c>
      <c r="H46" s="84">
        <f t="shared" si="2"/>
        <v>14680.593179476085</v>
      </c>
      <c r="I46" s="62">
        <f t="shared" si="7"/>
        <v>7917.4967115160953</v>
      </c>
      <c r="J46" s="62">
        <f t="shared" si="7"/>
        <v>1404.8980478379401</v>
      </c>
      <c r="K46" s="62">
        <f t="shared" si="7"/>
        <v>4892.9817295367957</v>
      </c>
      <c r="L46" s="62">
        <f t="shared" si="7"/>
        <v>348.76719482917247</v>
      </c>
      <c r="M46" s="62">
        <f t="shared" si="7"/>
        <v>86.732135241270996</v>
      </c>
      <c r="N46" s="62">
        <f t="shared" si="7"/>
        <v>29.717360514810512</v>
      </c>
      <c r="P46" s="85">
        <f t="shared" si="4"/>
        <v>1.9063923569995783E-4</v>
      </c>
      <c r="Q46" s="86">
        <f t="shared" si="5"/>
        <v>1.2410425703920154E-4</v>
      </c>
    </row>
    <row r="47" spans="1:17" x14ac:dyDescent="0.3">
      <c r="A47" s="66" t="s">
        <v>138</v>
      </c>
      <c r="B47" s="66">
        <v>8087</v>
      </c>
      <c r="C47" s="67" t="s">
        <v>139</v>
      </c>
      <c r="D47" s="71">
        <v>11.562972817604393</v>
      </c>
      <c r="E47" s="72">
        <v>1.0970240865610112</v>
      </c>
      <c r="F47" s="73">
        <f t="shared" si="1"/>
        <v>12.659996904165405</v>
      </c>
      <c r="G47" s="67" t="s">
        <v>398</v>
      </c>
      <c r="H47" s="84">
        <f t="shared" si="2"/>
        <v>19.93653658755353</v>
      </c>
      <c r="I47" s="62">
        <f t="shared" si="7"/>
        <v>10.752117502421561</v>
      </c>
      <c r="J47" s="62">
        <f t="shared" si="7"/>
        <v>1.9078794017438463</v>
      </c>
      <c r="K47" s="62">
        <f t="shared" si="7"/>
        <v>6.6447661944285681</v>
      </c>
      <c r="L47" s="62">
        <f t="shared" si="7"/>
        <v>0.47363276505550234</v>
      </c>
      <c r="M47" s="62">
        <f t="shared" si="7"/>
        <v>0.11778395916396814</v>
      </c>
      <c r="N47" s="62">
        <f t="shared" si="7"/>
        <v>4.0356764740086745E-2</v>
      </c>
      <c r="P47" s="85">
        <f t="shared" si="4"/>
        <v>2.5889186159513804E-7</v>
      </c>
      <c r="Q47" s="86">
        <f t="shared" si="5"/>
        <v>1.6853604148585827E-7</v>
      </c>
    </row>
    <row r="48" spans="1:17" x14ac:dyDescent="0.3">
      <c r="A48" s="66" t="s">
        <v>140</v>
      </c>
      <c r="B48" s="66">
        <v>8088</v>
      </c>
      <c r="C48" s="67" t="s">
        <v>141</v>
      </c>
      <c r="D48" s="71">
        <v>2977.1378956803846</v>
      </c>
      <c r="E48" s="72">
        <v>4779.8371247272635</v>
      </c>
      <c r="F48" s="73">
        <f t="shared" si="1"/>
        <v>7756.9750204076481</v>
      </c>
      <c r="G48" s="67" t="s">
        <v>394</v>
      </c>
      <c r="H48" s="84">
        <f t="shared" si="2"/>
        <v>12215.422916273674</v>
      </c>
      <c r="I48" s="62">
        <f t="shared" si="7"/>
        <v>6587.9879366582045</v>
      </c>
      <c r="J48" s="62">
        <f t="shared" si="7"/>
        <v>1168.9870837494436</v>
      </c>
      <c r="K48" s="62">
        <f t="shared" si="7"/>
        <v>4071.3505522005903</v>
      </c>
      <c r="L48" s="62">
        <f t="shared" si="7"/>
        <v>290.20208734595559</v>
      </c>
      <c r="M48" s="62">
        <f t="shared" si="7"/>
        <v>72.168045218005233</v>
      </c>
      <c r="N48" s="62">
        <f t="shared" si="7"/>
        <v>24.727211101475245</v>
      </c>
      <c r="P48" s="85">
        <f t="shared" si="4"/>
        <v>1.5862702957846489E-4</v>
      </c>
      <c r="Q48" s="86">
        <f t="shared" si="5"/>
        <v>1.0326462745137405E-4</v>
      </c>
    </row>
    <row r="49" spans="1:17" x14ac:dyDescent="0.3">
      <c r="A49" s="74" t="s">
        <v>142</v>
      </c>
      <c r="B49" s="74">
        <v>8089</v>
      </c>
      <c r="C49" s="75" t="s">
        <v>143</v>
      </c>
      <c r="D49" s="71">
        <v>8680.4243303533385</v>
      </c>
      <c r="E49" s="72">
        <v>27553.134235123129</v>
      </c>
      <c r="F49" s="73">
        <f t="shared" si="1"/>
        <v>36233.558565476465</v>
      </c>
      <c r="G49" s="67" t="s">
        <v>392</v>
      </c>
      <c r="H49" s="84">
        <f t="shared" si="2"/>
        <v>57059.387257844406</v>
      </c>
      <c r="I49" s="62">
        <f t="shared" si="7"/>
        <v>30773.110149710516</v>
      </c>
      <c r="J49" s="62">
        <f t="shared" si="7"/>
        <v>5460.4484157659526</v>
      </c>
      <c r="K49" s="62">
        <f t="shared" si="7"/>
        <v>19017.660658393164</v>
      </c>
      <c r="L49" s="62">
        <f t="shared" si="7"/>
        <v>1355.5611949257775</v>
      </c>
      <c r="M49" s="62">
        <f t="shared" si="7"/>
        <v>337.10371453859943</v>
      </c>
      <c r="N49" s="62">
        <f t="shared" si="7"/>
        <v>115.50312451039949</v>
      </c>
      <c r="P49" s="85">
        <f t="shared" si="4"/>
        <v>7.4096174748243863E-4</v>
      </c>
      <c r="Q49" s="86">
        <f t="shared" si="5"/>
        <v>4.8235876957933511E-4</v>
      </c>
    </row>
    <row r="50" spans="1:17" x14ac:dyDescent="0.3">
      <c r="A50" s="66" t="s">
        <v>144</v>
      </c>
      <c r="B50" s="66">
        <v>8091</v>
      </c>
      <c r="C50" s="67" t="s">
        <v>145</v>
      </c>
      <c r="D50" s="71">
        <v>961.21940613574191</v>
      </c>
      <c r="E50" s="72">
        <v>1750.1943841950917</v>
      </c>
      <c r="F50" s="73">
        <f t="shared" si="1"/>
        <v>2711.4137903308338</v>
      </c>
      <c r="G50" s="67" t="s">
        <v>395</v>
      </c>
      <c r="H50" s="84">
        <f t="shared" si="2"/>
        <v>4269.8430848069347</v>
      </c>
      <c r="I50" s="62">
        <f t="shared" si="7"/>
        <v>2302.7999052457308</v>
      </c>
      <c r="J50" s="62">
        <f t="shared" si="7"/>
        <v>408.61388508510322</v>
      </c>
      <c r="K50" s="62">
        <f t="shared" si="7"/>
        <v>1423.1212558329992</v>
      </c>
      <c r="L50" s="62">
        <f t="shared" si="7"/>
        <v>101.43876182951351</v>
      </c>
      <c r="M50" s="62">
        <f t="shared" si="7"/>
        <v>25.225997571284594</v>
      </c>
      <c r="N50" s="62">
        <f t="shared" si="7"/>
        <v>8.6432792423042049</v>
      </c>
      <c r="P50" s="85">
        <f t="shared" si="4"/>
        <v>5.5447325070239016E-5</v>
      </c>
      <c r="Q50" s="86">
        <f t="shared" si="5"/>
        <v>3.6095660252663455E-5</v>
      </c>
    </row>
    <row r="51" spans="1:17" x14ac:dyDescent="0.3">
      <c r="A51" s="66" t="s">
        <v>146</v>
      </c>
      <c r="B51" s="66">
        <v>8094</v>
      </c>
      <c r="C51" s="67" t="s">
        <v>147</v>
      </c>
      <c r="D51" s="71">
        <v>102.68219489920108</v>
      </c>
      <c r="E51" s="72">
        <v>624.83789075936056</v>
      </c>
      <c r="F51" s="73">
        <f t="shared" si="1"/>
        <v>727.52008565856158</v>
      </c>
      <c r="G51" s="67" t="s">
        <v>395</v>
      </c>
      <c r="H51" s="84">
        <f t="shared" si="2"/>
        <v>1145.6741194889075</v>
      </c>
      <c r="I51" s="62">
        <f t="shared" si="7"/>
        <v>617.88178192989324</v>
      </c>
      <c r="J51" s="62">
        <f t="shared" si="7"/>
        <v>109.63830372866838</v>
      </c>
      <c r="K51" s="62">
        <f t="shared" si="7"/>
        <v>381.84850340375931</v>
      </c>
      <c r="L51" s="62">
        <f t="shared" si="7"/>
        <v>27.217806798239206</v>
      </c>
      <c r="M51" s="62">
        <f t="shared" si="7"/>
        <v>6.7685795430155862</v>
      </c>
      <c r="N51" s="62">
        <f t="shared" si="7"/>
        <v>2.319144085331502</v>
      </c>
      <c r="P51" s="85">
        <f t="shared" si="4"/>
        <v>1.487749410602372E-5</v>
      </c>
      <c r="Q51" s="86">
        <f t="shared" si="5"/>
        <v>9.6851015262100189E-6</v>
      </c>
    </row>
    <row r="52" spans="1:17" x14ac:dyDescent="0.3">
      <c r="A52" s="66" t="s">
        <v>148</v>
      </c>
      <c r="B52" s="66">
        <v>8095</v>
      </c>
      <c r="C52" s="67" t="s">
        <v>149</v>
      </c>
      <c r="D52" s="71">
        <v>11.058128469971384</v>
      </c>
      <c r="E52" s="72">
        <v>35.62399629297051</v>
      </c>
      <c r="F52" s="73">
        <f t="shared" si="1"/>
        <v>46.682124762941896</v>
      </c>
      <c r="G52" s="67" t="s">
        <v>394</v>
      </c>
      <c r="H52" s="84">
        <f t="shared" si="2"/>
        <v>73.513437275400648</v>
      </c>
      <c r="I52" s="62">
        <f t="shared" si="7"/>
        <v>39.647062674139228</v>
      </c>
      <c r="J52" s="62">
        <f t="shared" si="7"/>
        <v>7.0350620888026665</v>
      </c>
      <c r="K52" s="62">
        <f t="shared" si="7"/>
        <v>24.501728306650168</v>
      </c>
      <c r="L52" s="62">
        <f t="shared" si="7"/>
        <v>1.7464604452520358</v>
      </c>
      <c r="M52" s="62">
        <f t="shared" si="7"/>
        <v>0.43431333501799851</v>
      </c>
      <c r="N52" s="62">
        <f t="shared" si="7"/>
        <v>0.14881042553853768</v>
      </c>
      <c r="P52" s="85">
        <f t="shared" si="4"/>
        <v>9.5463073763612825E-7</v>
      </c>
      <c r="Q52" s="86">
        <f t="shared" si="5"/>
        <v>6.2145516900612924E-7</v>
      </c>
    </row>
    <row r="53" spans="1:17" x14ac:dyDescent="0.3">
      <c r="A53" s="76" t="s">
        <v>150</v>
      </c>
      <c r="B53" s="76">
        <v>8096</v>
      </c>
      <c r="C53" s="77" t="s">
        <v>151</v>
      </c>
      <c r="D53" s="71">
        <v>22580.481531124835</v>
      </c>
      <c r="E53" s="72">
        <v>47081.677231622867</v>
      </c>
      <c r="F53" s="73">
        <f t="shared" si="1"/>
        <v>69662.158762747698</v>
      </c>
      <c r="G53" s="67" t="s">
        <v>394</v>
      </c>
      <c r="H53" s="84">
        <f t="shared" si="2"/>
        <v>109701.62058132338</v>
      </c>
      <c r="I53" s="62">
        <f t="shared" si="7"/>
        <v>59163.973116215144</v>
      </c>
      <c r="J53" s="62">
        <f t="shared" si="7"/>
        <v>10498.18564653256</v>
      </c>
      <c r="K53" s="62">
        <f t="shared" si="7"/>
        <v>36563.101956630147</v>
      </c>
      <c r="L53" s="62">
        <f t="shared" si="7"/>
        <v>2606.183960730652</v>
      </c>
      <c r="M53" s="62">
        <f t="shared" si="7"/>
        <v>648.11112712718705</v>
      </c>
      <c r="N53" s="62">
        <f t="shared" si="7"/>
        <v>222.0647740877244</v>
      </c>
      <c r="P53" s="85">
        <f t="shared" si="4"/>
        <v>1.424563220776928E-3</v>
      </c>
      <c r="Q53" s="86">
        <f t="shared" si="5"/>
        <v>9.2737656794923792E-4</v>
      </c>
    </row>
    <row r="54" spans="1:17" x14ac:dyDescent="0.3">
      <c r="A54" s="66" t="s">
        <v>152</v>
      </c>
      <c r="B54" s="66">
        <v>8097</v>
      </c>
      <c r="C54" s="67" t="s">
        <v>153</v>
      </c>
      <c r="D54" s="71">
        <v>186.0033120696279</v>
      </c>
      <c r="E54" s="72">
        <v>651.64273780938254</v>
      </c>
      <c r="F54" s="73">
        <f t="shared" si="1"/>
        <v>837.64604987901043</v>
      </c>
      <c r="G54" s="67" t="s">
        <v>394</v>
      </c>
      <c r="H54" s="84">
        <f t="shared" si="2"/>
        <v>1319.0967776096381</v>
      </c>
      <c r="I54" s="62">
        <f t="shared" si="7"/>
        <v>711.41160791082609</v>
      </c>
      <c r="J54" s="62">
        <f t="shared" si="7"/>
        <v>126.23444196818443</v>
      </c>
      <c r="K54" s="62">
        <f t="shared" si="7"/>
        <v>439.64956684162814</v>
      </c>
      <c r="L54" s="62">
        <f t="shared" si="7"/>
        <v>31.337812935126408</v>
      </c>
      <c r="M54" s="62">
        <f t="shared" si="7"/>
        <v>7.793151047323474</v>
      </c>
      <c r="N54" s="62">
        <f t="shared" si="7"/>
        <v>2.6701969065496165</v>
      </c>
      <c r="P54" s="85">
        <f t="shared" si="4"/>
        <v>1.7129525927422579E-5</v>
      </c>
      <c r="Q54" s="86">
        <f t="shared" si="5"/>
        <v>1.115115196958896E-5</v>
      </c>
    </row>
    <row r="55" spans="1:17" x14ac:dyDescent="0.3">
      <c r="A55" s="74" t="s">
        <v>154</v>
      </c>
      <c r="B55" s="74">
        <v>8101</v>
      </c>
      <c r="C55" s="75" t="s">
        <v>155</v>
      </c>
      <c r="D55" s="71">
        <v>67859.544559350965</v>
      </c>
      <c r="E55" s="72">
        <v>142877.44341680707</v>
      </c>
      <c r="F55" s="73">
        <f t="shared" si="1"/>
        <v>210736.98797615804</v>
      </c>
      <c r="G55" s="67" t="s">
        <v>396</v>
      </c>
      <c r="H55" s="84">
        <f t="shared" si="2"/>
        <v>331861.50857234141</v>
      </c>
      <c r="I55" s="62">
        <f t="shared" si="7"/>
        <v>178978.62645452403</v>
      </c>
      <c r="J55" s="62">
        <f t="shared" si="7"/>
        <v>31758.361521634026</v>
      </c>
      <c r="K55" s="62">
        <f t="shared" si="7"/>
        <v>110608.08499557743</v>
      </c>
      <c r="L55" s="62">
        <f t="shared" si="7"/>
        <v>7884.041605237333</v>
      </c>
      <c r="M55" s="62">
        <f t="shared" si="7"/>
        <v>1960.6194988842899</v>
      </c>
      <c r="N55" s="62">
        <f t="shared" si="7"/>
        <v>671.77449648428319</v>
      </c>
      <c r="P55" s="85">
        <f t="shared" si="4"/>
        <v>4.3094869246096748E-3</v>
      </c>
      <c r="Q55" s="86">
        <f t="shared" si="5"/>
        <v>2.8054333675602097E-3</v>
      </c>
    </row>
    <row r="56" spans="1:17" x14ac:dyDescent="0.3">
      <c r="A56" s="76" t="s">
        <v>156</v>
      </c>
      <c r="B56" s="76">
        <v>8105</v>
      </c>
      <c r="C56" s="77" t="s">
        <v>157</v>
      </c>
      <c r="D56" s="71">
        <v>497.53083126478674</v>
      </c>
      <c r="E56" s="72">
        <v>1946.224816148117</v>
      </c>
      <c r="F56" s="73">
        <f t="shared" si="1"/>
        <v>2443.7556474129037</v>
      </c>
      <c r="G56" s="67" t="s">
        <v>394</v>
      </c>
      <c r="H56" s="84">
        <f t="shared" si="2"/>
        <v>3848.3440592041547</v>
      </c>
      <c r="I56" s="62">
        <f t="shared" si="7"/>
        <v>2075.4782222375275</v>
      </c>
      <c r="J56" s="62">
        <f t="shared" si="7"/>
        <v>368.27742517537672</v>
      </c>
      <c r="K56" s="62">
        <f t="shared" si="7"/>
        <v>1282.6373526229265</v>
      </c>
      <c r="L56" s="62">
        <f t="shared" si="7"/>
        <v>91.425199639926447</v>
      </c>
      <c r="M56" s="62">
        <f t="shared" si="7"/>
        <v>22.735804563024349</v>
      </c>
      <c r="N56" s="62">
        <f t="shared" si="7"/>
        <v>7.7900549653730318</v>
      </c>
      <c r="P56" s="85">
        <f t="shared" si="4"/>
        <v>4.9973823345422566E-5</v>
      </c>
      <c r="Q56" s="86">
        <f t="shared" si="5"/>
        <v>3.2532464762149406E-5</v>
      </c>
    </row>
    <row r="57" spans="1:17" x14ac:dyDescent="0.3">
      <c r="A57" s="66" t="s">
        <v>158</v>
      </c>
      <c r="B57" s="66">
        <v>8106</v>
      </c>
      <c r="C57" s="67" t="s">
        <v>159</v>
      </c>
      <c r="D57" s="71">
        <v>1769.2318798959418</v>
      </c>
      <c r="E57" s="72">
        <v>5005.1748202965919</v>
      </c>
      <c r="F57" s="73">
        <f t="shared" si="1"/>
        <v>6774.4067001925341</v>
      </c>
      <c r="G57" s="67" t="s">
        <v>394</v>
      </c>
      <c r="H57" s="84">
        <f t="shared" si="2"/>
        <v>10668.107430019929</v>
      </c>
      <c r="I57" s="62">
        <f t="shared" si="7"/>
        <v>5753.4940490938352</v>
      </c>
      <c r="J57" s="62">
        <f t="shared" si="7"/>
        <v>1020.9126510986997</v>
      </c>
      <c r="K57" s="62">
        <f t="shared" si="7"/>
        <v>3555.6366221494941</v>
      </c>
      <c r="L57" s="62">
        <f t="shared" si="7"/>
        <v>253.44247722264615</v>
      </c>
      <c r="M57" s="62">
        <f t="shared" si="7"/>
        <v>63.026590620496769</v>
      </c>
      <c r="N57" s="62">
        <f t="shared" si="7"/>
        <v>21.595039834755831</v>
      </c>
      <c r="P57" s="85">
        <f t="shared" si="4"/>
        <v>1.3853390131859922E-4</v>
      </c>
      <c r="Q57" s="86">
        <f t="shared" si="5"/>
        <v>9.0184199673071903E-5</v>
      </c>
    </row>
    <row r="58" spans="1:17" x14ac:dyDescent="0.3">
      <c r="A58" s="66" t="s">
        <v>160</v>
      </c>
      <c r="B58" s="66">
        <v>8107</v>
      </c>
      <c r="C58" s="67" t="s">
        <v>161</v>
      </c>
      <c r="D58" s="71">
        <v>4546.5764246461467</v>
      </c>
      <c r="E58" s="72">
        <v>9618.8943819773049</v>
      </c>
      <c r="F58" s="73">
        <f t="shared" si="1"/>
        <v>14165.470806623453</v>
      </c>
      <c r="G58" s="67" t="s">
        <v>394</v>
      </c>
      <c r="H58" s="84">
        <f t="shared" si="2"/>
        <v>22307.306167132705</v>
      </c>
      <c r="I58" s="62">
        <f t="shared" si="7"/>
        <v>12030.714362957298</v>
      </c>
      <c r="J58" s="62">
        <f t="shared" si="7"/>
        <v>2134.7564436661546</v>
      </c>
      <c r="K58" s="62">
        <f t="shared" si="7"/>
        <v>7434.9340095846928</v>
      </c>
      <c r="L58" s="62">
        <f t="shared" si="7"/>
        <v>529.95519329444585</v>
      </c>
      <c r="M58" s="62">
        <f t="shared" si="7"/>
        <v>131.79033515219575</v>
      </c>
      <c r="N58" s="62">
        <f t="shared" si="7"/>
        <v>45.155822477916814</v>
      </c>
      <c r="P58" s="85">
        <f t="shared" si="4"/>
        <v>2.8967819939132059E-4</v>
      </c>
      <c r="Q58" s="86">
        <f t="shared" si="5"/>
        <v>1.8857764291761413E-4</v>
      </c>
    </row>
    <row r="59" spans="1:17" x14ac:dyDescent="0.3">
      <c r="A59" s="66" t="s">
        <v>162</v>
      </c>
      <c r="B59" s="66">
        <v>8108</v>
      </c>
      <c r="C59" s="67" t="s">
        <v>163</v>
      </c>
      <c r="D59" s="71">
        <v>2329.6433780816237</v>
      </c>
      <c r="E59" s="72">
        <v>7318.9343642374006</v>
      </c>
      <c r="F59" s="73">
        <f t="shared" si="1"/>
        <v>9648.5777423190248</v>
      </c>
      <c r="G59" s="67" t="s">
        <v>394</v>
      </c>
      <c r="H59" s="84">
        <f t="shared" si="2"/>
        <v>15194.255151382196</v>
      </c>
      <c r="I59" s="62">
        <f t="shared" si="7"/>
        <v>8194.5234585744638</v>
      </c>
      <c r="J59" s="62">
        <f t="shared" si="7"/>
        <v>1454.0542837445628</v>
      </c>
      <c r="K59" s="62">
        <f t="shared" si="7"/>
        <v>5064.1831662204431</v>
      </c>
      <c r="L59" s="62">
        <f t="shared" si="7"/>
        <v>360.97027428529213</v>
      </c>
      <c r="M59" s="62">
        <f t="shared" si="7"/>
        <v>89.766821855837946</v>
      </c>
      <c r="N59" s="62">
        <f t="shared" si="7"/>
        <v>30.757146701599126</v>
      </c>
      <c r="P59" s="85">
        <f t="shared" si="4"/>
        <v>1.9730954694250456E-4</v>
      </c>
      <c r="Q59" s="86">
        <f t="shared" si="5"/>
        <v>1.2844656368944101E-4</v>
      </c>
    </row>
    <row r="60" spans="1:17" x14ac:dyDescent="0.3">
      <c r="A60" s="66" t="s">
        <v>164</v>
      </c>
      <c r="B60" s="66">
        <v>8110</v>
      </c>
      <c r="C60" s="67" t="s">
        <v>165</v>
      </c>
      <c r="D60" s="71">
        <v>3652.6450318243838</v>
      </c>
      <c r="E60" s="72">
        <v>5710.5119101652899</v>
      </c>
      <c r="F60" s="73">
        <f t="shared" si="1"/>
        <v>9363.1569419896732</v>
      </c>
      <c r="G60" s="67" t="s">
        <v>393</v>
      </c>
      <c r="H60" s="84">
        <f t="shared" si="2"/>
        <v>14744.784091342466</v>
      </c>
      <c r="I60" s="62">
        <f t="shared" si="7"/>
        <v>7952.1159756969064</v>
      </c>
      <c r="J60" s="62">
        <f t="shared" si="7"/>
        <v>1411.0409662927673</v>
      </c>
      <c r="K60" s="62">
        <f t="shared" si="7"/>
        <v>4914.3762982115559</v>
      </c>
      <c r="L60" s="62">
        <f t="shared" si="7"/>
        <v>350.29217982068241</v>
      </c>
      <c r="M60" s="62">
        <f t="shared" si="7"/>
        <v>87.111371610073789</v>
      </c>
      <c r="N60" s="62">
        <f t="shared" si="7"/>
        <v>29.847299710481064</v>
      </c>
      <c r="P60" s="85">
        <f t="shared" si="4"/>
        <v>1.9147280599425619E-4</v>
      </c>
      <c r="Q60" s="86">
        <f t="shared" si="5"/>
        <v>1.246469030568695E-4</v>
      </c>
    </row>
    <row r="61" spans="1:17" x14ac:dyDescent="0.3">
      <c r="A61" s="76" t="s">
        <v>166</v>
      </c>
      <c r="B61" s="76">
        <v>8114</v>
      </c>
      <c r="C61" s="77" t="s">
        <v>167</v>
      </c>
      <c r="D61" s="71">
        <v>11731.730886039442</v>
      </c>
      <c r="E61" s="72">
        <v>26287.929247502994</v>
      </c>
      <c r="F61" s="73">
        <f t="shared" si="1"/>
        <v>38019.660133542435</v>
      </c>
      <c r="G61" s="67" t="s">
        <v>392</v>
      </c>
      <c r="H61" s="84">
        <f t="shared" si="2"/>
        <v>59872.079830392977</v>
      </c>
      <c r="I61" s="62">
        <f t="shared" si="7"/>
        <v>32290.043690569917</v>
      </c>
      <c r="J61" s="62">
        <f t="shared" si="7"/>
        <v>5729.6164429725195</v>
      </c>
      <c r="K61" s="62">
        <f t="shared" si="7"/>
        <v>19955.119601641065</v>
      </c>
      <c r="L61" s="62">
        <f t="shared" si="7"/>
        <v>1422.3823980237589</v>
      </c>
      <c r="M61" s="62">
        <f t="shared" si="7"/>
        <v>353.72094720842449</v>
      </c>
      <c r="N61" s="62">
        <f t="shared" si="7"/>
        <v>121.19674997729214</v>
      </c>
      <c r="P61" s="85">
        <f t="shared" si="4"/>
        <v>7.7748680854327127E-4</v>
      </c>
      <c r="Q61" s="86">
        <f t="shared" si="5"/>
        <v>5.0613622310102433E-4</v>
      </c>
    </row>
    <row r="62" spans="1:17" x14ac:dyDescent="0.3">
      <c r="A62" s="76" t="s">
        <v>168</v>
      </c>
      <c r="B62" s="76">
        <v>8115</v>
      </c>
      <c r="C62" s="77" t="s">
        <v>169</v>
      </c>
      <c r="D62" s="71">
        <v>417.62856730423727</v>
      </c>
      <c r="E62" s="72">
        <v>1465.3699604368921</v>
      </c>
      <c r="F62" s="73">
        <f t="shared" si="1"/>
        <v>1882.9985277411295</v>
      </c>
      <c r="G62" s="67" t="s">
        <v>394</v>
      </c>
      <c r="H62" s="84">
        <f t="shared" ref="H62:H125" si="8">SUM(I62:N62)</f>
        <v>2965.2826400193558</v>
      </c>
      <c r="I62" s="62">
        <f t="shared" si="7"/>
        <v>1599.2279919514037</v>
      </c>
      <c r="J62" s="62">
        <f t="shared" si="7"/>
        <v>283.77053578972595</v>
      </c>
      <c r="K62" s="62">
        <f t="shared" si="7"/>
        <v>988.31658933315225</v>
      </c>
      <c r="L62" s="62">
        <f t="shared" si="7"/>
        <v>70.446288892537865</v>
      </c>
      <c r="M62" s="62">
        <f t="shared" si="7"/>
        <v>17.518726376963073</v>
      </c>
      <c r="N62" s="62">
        <f t="shared" si="7"/>
        <v>6.0025076755726214</v>
      </c>
      <c r="P62" s="85">
        <f t="shared" ref="P62:P125" si="9">H62/$P$3</f>
        <v>3.8506565042477211E-5</v>
      </c>
      <c r="Q62" s="86">
        <f t="shared" ref="Q62:Q125" si="10">I62/$Q$3</f>
        <v>2.5067393016879267E-5</v>
      </c>
    </row>
    <row r="63" spans="1:17" x14ac:dyDescent="0.3">
      <c r="A63" s="66" t="s">
        <v>170</v>
      </c>
      <c r="B63" s="66">
        <v>8118</v>
      </c>
      <c r="C63" s="67" t="s">
        <v>171</v>
      </c>
      <c r="D63" s="71">
        <v>3544.6767999607728</v>
      </c>
      <c r="E63" s="72">
        <v>6596.6362956131807</v>
      </c>
      <c r="F63" s="73">
        <f t="shared" si="1"/>
        <v>10141.313095573954</v>
      </c>
      <c r="G63" s="67" t="s">
        <v>393</v>
      </c>
      <c r="H63" s="84">
        <f t="shared" si="8"/>
        <v>15970.198184584355</v>
      </c>
      <c r="I63" s="62">
        <f t="shared" si="7"/>
        <v>8613.0028986485013</v>
      </c>
      <c r="J63" s="62">
        <f t="shared" si="7"/>
        <v>1528.310196925454</v>
      </c>
      <c r="K63" s="62">
        <f t="shared" si="7"/>
        <v>5322.8018090915893</v>
      </c>
      <c r="L63" s="62">
        <f t="shared" si="7"/>
        <v>379.40437103660707</v>
      </c>
      <c r="M63" s="62">
        <f t="shared" si="7"/>
        <v>94.351050522381058</v>
      </c>
      <c r="N63" s="62">
        <f t="shared" si="7"/>
        <v>32.327858359821576</v>
      </c>
      <c r="P63" s="85">
        <f t="shared" si="9"/>
        <v>2.0738578739055202E-4</v>
      </c>
      <c r="Q63" s="86">
        <f t="shared" si="10"/>
        <v>1.3500609656818909E-4</v>
      </c>
    </row>
    <row r="64" spans="1:17" x14ac:dyDescent="0.3">
      <c r="A64" s="66" t="s">
        <v>172</v>
      </c>
      <c r="B64" s="66">
        <v>8120</v>
      </c>
      <c r="C64" s="67" t="s">
        <v>173</v>
      </c>
      <c r="D64" s="71">
        <v>2210.7042642306888</v>
      </c>
      <c r="E64" s="72">
        <v>6693.8080236883843</v>
      </c>
      <c r="F64" s="73">
        <f t="shared" si="1"/>
        <v>8904.5122879190731</v>
      </c>
      <c r="G64" s="67" t="s">
        <v>398</v>
      </c>
      <c r="H64" s="84">
        <f t="shared" si="8"/>
        <v>14022.525942641352</v>
      </c>
      <c r="I64" s="62">
        <f t="shared" si="7"/>
        <v>7562.5897183245961</v>
      </c>
      <c r="J64" s="62">
        <f t="shared" si="7"/>
        <v>1341.9225695944772</v>
      </c>
      <c r="K64" s="62">
        <f t="shared" si="7"/>
        <v>4673.6506080164045</v>
      </c>
      <c r="L64" s="62">
        <f t="shared" si="7"/>
        <v>333.13347612353459</v>
      </c>
      <c r="M64" s="62">
        <f t="shared" si="7"/>
        <v>82.844310281800489</v>
      </c>
      <c r="N64" s="62">
        <f t="shared" si="7"/>
        <v>28.385260300539684</v>
      </c>
      <c r="P64" s="85">
        <f t="shared" si="9"/>
        <v>1.8209370667836869E-4</v>
      </c>
      <c r="Q64" s="86">
        <f t="shared" si="10"/>
        <v>1.1854120216050695E-4</v>
      </c>
    </row>
    <row r="65" spans="1:17" x14ac:dyDescent="0.3">
      <c r="A65" s="66" t="s">
        <v>174</v>
      </c>
      <c r="B65" s="66">
        <v>8121</v>
      </c>
      <c r="C65" s="67" t="s">
        <v>175</v>
      </c>
      <c r="D65" s="71">
        <v>88975.390154499677</v>
      </c>
      <c r="E65" s="72">
        <v>63084.788807264304</v>
      </c>
      <c r="F65" s="73">
        <f t="shared" si="1"/>
        <v>152060.17896176397</v>
      </c>
      <c r="G65" s="67" t="s">
        <v>393</v>
      </c>
      <c r="H65" s="84">
        <f t="shared" si="8"/>
        <v>239459.24665934956</v>
      </c>
      <c r="I65" s="62">
        <f t="shared" si="7"/>
        <v>129144.49537489208</v>
      </c>
      <c r="J65" s="62">
        <f t="shared" si="7"/>
        <v>22915.683586871914</v>
      </c>
      <c r="K65" s="62">
        <f t="shared" si="7"/>
        <v>79810.788607021153</v>
      </c>
      <c r="L65" s="62">
        <f t="shared" si="7"/>
        <v>5688.8389121800246</v>
      </c>
      <c r="M65" s="62">
        <f t="shared" si="7"/>
        <v>1414.7120291479096</v>
      </c>
      <c r="N65" s="62">
        <f t="shared" si="7"/>
        <v>484.72814923645893</v>
      </c>
      <c r="P65" s="85">
        <f t="shared" si="9"/>
        <v>3.1095697024181982E-3</v>
      </c>
      <c r="Q65" s="86">
        <f t="shared" si="10"/>
        <v>2.0242991229654141E-3</v>
      </c>
    </row>
    <row r="66" spans="1:17" x14ac:dyDescent="0.3">
      <c r="A66" s="66" t="s">
        <v>176</v>
      </c>
      <c r="B66" s="66">
        <v>8122</v>
      </c>
      <c r="C66" s="67" t="s">
        <v>177</v>
      </c>
      <c r="D66" s="71">
        <v>827.3819243241694</v>
      </c>
      <c r="E66" s="72">
        <v>1273.2348019064327</v>
      </c>
      <c r="F66" s="73">
        <f t="shared" si="1"/>
        <v>2100.6167262306021</v>
      </c>
      <c r="G66" s="67" t="s">
        <v>395</v>
      </c>
      <c r="H66" s="84">
        <f t="shared" si="8"/>
        <v>3307.980447068217</v>
      </c>
      <c r="I66" s="62">
        <f t="shared" si="7"/>
        <v>1784.0508207827636</v>
      </c>
      <c r="J66" s="62">
        <f t="shared" si="7"/>
        <v>316.56590544783882</v>
      </c>
      <c r="K66" s="62">
        <f t="shared" si="7"/>
        <v>1102.5363683395376</v>
      </c>
      <c r="L66" s="62">
        <f t="shared" si="7"/>
        <v>78.587768693615359</v>
      </c>
      <c r="M66" s="62">
        <f t="shared" si="7"/>
        <v>19.543366129899098</v>
      </c>
      <c r="N66" s="62">
        <f t="shared" si="7"/>
        <v>6.696217674562555</v>
      </c>
      <c r="P66" s="85">
        <f t="shared" si="9"/>
        <v>4.2956769963568693E-5</v>
      </c>
      <c r="Q66" s="86">
        <f t="shared" si="10"/>
        <v>2.7964432408463333E-5</v>
      </c>
    </row>
    <row r="67" spans="1:17" x14ac:dyDescent="0.3">
      <c r="A67" s="74" t="s">
        <v>178</v>
      </c>
      <c r="B67" s="74">
        <v>8123</v>
      </c>
      <c r="C67" s="75" t="s">
        <v>179</v>
      </c>
      <c r="D67" s="71">
        <v>5206.3730115593635</v>
      </c>
      <c r="E67" s="72">
        <v>13590.549517213532</v>
      </c>
      <c r="F67" s="73">
        <f t="shared" si="1"/>
        <v>18796.922528772895</v>
      </c>
      <c r="G67" s="67" t="s">
        <v>392</v>
      </c>
      <c r="H67" s="84">
        <f t="shared" si="8"/>
        <v>29600.760297578818</v>
      </c>
      <c r="I67" s="62">
        <f t="shared" si="7"/>
        <v>15964.19977376012</v>
      </c>
      <c r="J67" s="62">
        <f t="shared" si="7"/>
        <v>2832.7227550127768</v>
      </c>
      <c r="K67" s="62">
        <f t="shared" si="7"/>
        <v>9865.812474044742</v>
      </c>
      <c r="L67" s="62">
        <f t="shared" si="7"/>
        <v>703.22595331026901</v>
      </c>
      <c r="M67" s="62">
        <f t="shared" si="7"/>
        <v>174.87966010551034</v>
      </c>
      <c r="N67" s="62">
        <f t="shared" si="7"/>
        <v>59.919681345398615</v>
      </c>
      <c r="P67" s="85">
        <f t="shared" si="9"/>
        <v>3.8438953046919522E-4</v>
      </c>
      <c r="Q67" s="86">
        <f t="shared" si="10"/>
        <v>2.5023378276446554E-4</v>
      </c>
    </row>
    <row r="68" spans="1:17" x14ac:dyDescent="0.3">
      <c r="A68" s="76" t="s">
        <v>180</v>
      </c>
      <c r="B68" s="76">
        <v>8124</v>
      </c>
      <c r="C68" s="77" t="s">
        <v>181</v>
      </c>
      <c r="D68" s="71">
        <v>9359.6672788164342</v>
      </c>
      <c r="E68" s="72">
        <v>18804.111792240506</v>
      </c>
      <c r="F68" s="73">
        <f t="shared" ref="F68:F131" si="11">D68+E68</f>
        <v>28163.779071056939</v>
      </c>
      <c r="G68" s="67" t="s">
        <v>394</v>
      </c>
      <c r="H68" s="84">
        <f t="shared" si="8"/>
        <v>44351.370394818943</v>
      </c>
      <c r="I68" s="62">
        <f t="shared" si="7"/>
        <v>23919.457814765428</v>
      </c>
      <c r="J68" s="62">
        <f t="shared" si="7"/>
        <v>4244.3212562915123</v>
      </c>
      <c r="K68" s="62">
        <f t="shared" si="7"/>
        <v>14782.130556219994</v>
      </c>
      <c r="L68" s="62">
        <f t="shared" si="7"/>
        <v>1053.6565416890489</v>
      </c>
      <c r="M68" s="62">
        <f t="shared" si="7"/>
        <v>262.02545143727076</v>
      </c>
      <c r="N68" s="62">
        <f t="shared" si="7"/>
        <v>89.778774415691885</v>
      </c>
      <c r="P68" s="85">
        <f t="shared" si="9"/>
        <v>5.7593799180638843E-4</v>
      </c>
      <c r="Q68" s="86">
        <f t="shared" si="10"/>
        <v>3.7492993670136391E-4</v>
      </c>
    </row>
    <row r="69" spans="1:17" x14ac:dyDescent="0.3">
      <c r="A69" s="76" t="s">
        <v>182</v>
      </c>
      <c r="B69" s="76">
        <v>8125</v>
      </c>
      <c r="C69" s="77" t="s">
        <v>183</v>
      </c>
      <c r="D69" s="71">
        <v>16101.688336222849</v>
      </c>
      <c r="E69" s="72">
        <v>33049.566902271901</v>
      </c>
      <c r="F69" s="73">
        <f t="shared" si="11"/>
        <v>49151.255238494748</v>
      </c>
      <c r="G69" s="67" t="s">
        <v>398</v>
      </c>
      <c r="H69" s="84">
        <f t="shared" si="8"/>
        <v>77401.740759037843</v>
      </c>
      <c r="I69" s="62">
        <f t="shared" ref="I69:N100" si="12">$F69*I$3/SUM($I$3:$J$3)</f>
        <v>41744.09170210205</v>
      </c>
      <c r="J69" s="62">
        <f t="shared" si="12"/>
        <v>7407.1635363926998</v>
      </c>
      <c r="K69" s="62">
        <f t="shared" si="12"/>
        <v>25797.683972183448</v>
      </c>
      <c r="L69" s="62">
        <f t="shared" si="12"/>
        <v>1838.8349618709244</v>
      </c>
      <c r="M69" s="62">
        <f t="shared" si="12"/>
        <v>457.28521765782278</v>
      </c>
      <c r="N69" s="62">
        <f t="shared" si="12"/>
        <v>156.68136883092345</v>
      </c>
      <c r="P69" s="85">
        <f t="shared" si="9"/>
        <v>1.0051234660448404E-3</v>
      </c>
      <c r="Q69" s="86">
        <f t="shared" si="10"/>
        <v>6.5432543583256544E-4</v>
      </c>
    </row>
    <row r="70" spans="1:17" x14ac:dyDescent="0.3">
      <c r="A70" s="66" t="s">
        <v>184</v>
      </c>
      <c r="B70" s="66">
        <v>8126</v>
      </c>
      <c r="C70" s="67" t="s">
        <v>185</v>
      </c>
      <c r="D70" s="71">
        <v>1310.0066231268263</v>
      </c>
      <c r="E70" s="72">
        <v>3000.4165286624266</v>
      </c>
      <c r="F70" s="73">
        <f t="shared" si="11"/>
        <v>4310.4231517892531</v>
      </c>
      <c r="G70" s="67" t="s">
        <v>393</v>
      </c>
      <c r="H70" s="84">
        <f t="shared" si="8"/>
        <v>6787.9091538489911</v>
      </c>
      <c r="I70" s="62">
        <f t="shared" si="12"/>
        <v>3660.8362990947858</v>
      </c>
      <c r="J70" s="62">
        <f t="shared" si="12"/>
        <v>649.58685269446721</v>
      </c>
      <c r="K70" s="62">
        <f t="shared" si="12"/>
        <v>2262.3823891511165</v>
      </c>
      <c r="L70" s="62">
        <f t="shared" si="12"/>
        <v>161.26051620672055</v>
      </c>
      <c r="M70" s="62">
        <f t="shared" si="12"/>
        <v>40.102593099586358</v>
      </c>
      <c r="N70" s="62">
        <f t="shared" si="12"/>
        <v>13.740503602315048</v>
      </c>
      <c r="P70" s="85">
        <f t="shared" si="9"/>
        <v>8.8146425506813221E-5</v>
      </c>
      <c r="Q70" s="86">
        <f t="shared" si="10"/>
        <v>5.7382451246298188E-5</v>
      </c>
    </row>
    <row r="71" spans="1:17" x14ac:dyDescent="0.3">
      <c r="A71" s="66" t="s">
        <v>186</v>
      </c>
      <c r="B71" s="66">
        <v>8134</v>
      </c>
      <c r="C71" s="67" t="s">
        <v>187</v>
      </c>
      <c r="D71" s="71">
        <v>24.46022294297272</v>
      </c>
      <c r="E71" s="72">
        <v>295.36442845474397</v>
      </c>
      <c r="F71" s="73">
        <f t="shared" si="11"/>
        <v>319.82465139771671</v>
      </c>
      <c r="G71" s="67" t="s">
        <v>394</v>
      </c>
      <c r="H71" s="84">
        <f t="shared" si="8"/>
        <v>503.64908557712448</v>
      </c>
      <c r="I71" s="62">
        <f t="shared" si="12"/>
        <v>271.62662503241444</v>
      </c>
      <c r="J71" s="62">
        <f t="shared" si="12"/>
        <v>48.198026365302312</v>
      </c>
      <c r="K71" s="62">
        <f t="shared" si="12"/>
        <v>167.86418257758237</v>
      </c>
      <c r="L71" s="62">
        <f t="shared" si="12"/>
        <v>11.965203081888021</v>
      </c>
      <c r="M71" s="62">
        <f t="shared" si="12"/>
        <v>2.9755310340924899</v>
      </c>
      <c r="N71" s="62">
        <f t="shared" si="12"/>
        <v>1.019517485844819</v>
      </c>
      <c r="P71" s="85">
        <f t="shared" si="9"/>
        <v>6.5402859109016071E-6</v>
      </c>
      <c r="Q71" s="86">
        <f t="shared" si="10"/>
        <v>4.2576614452749873E-6</v>
      </c>
    </row>
    <row r="72" spans="1:17" x14ac:dyDescent="0.3">
      <c r="A72" s="76" t="s">
        <v>188</v>
      </c>
      <c r="B72" s="76">
        <v>8135</v>
      </c>
      <c r="C72" s="77" t="s">
        <v>189</v>
      </c>
      <c r="D72" s="71">
        <v>460.59238478362738</v>
      </c>
      <c r="E72" s="72">
        <v>2640.5680413766554</v>
      </c>
      <c r="F72" s="73">
        <f t="shared" si="11"/>
        <v>3101.1604261602829</v>
      </c>
      <c r="G72" s="67" t="s">
        <v>394</v>
      </c>
      <c r="H72" s="84">
        <f t="shared" si="8"/>
        <v>4883.6029556749263</v>
      </c>
      <c r="I72" s="62">
        <f t="shared" si="12"/>
        <v>2633.8111729683119</v>
      </c>
      <c r="J72" s="62">
        <f t="shared" si="12"/>
        <v>467.34925319197134</v>
      </c>
      <c r="K72" s="62">
        <f t="shared" si="12"/>
        <v>1627.6849132932705</v>
      </c>
      <c r="L72" s="62">
        <f t="shared" si="12"/>
        <v>116.01986940768722</v>
      </c>
      <c r="M72" s="62">
        <f t="shared" si="12"/>
        <v>28.852057055053169</v>
      </c>
      <c r="N72" s="62">
        <f t="shared" si="12"/>
        <v>9.8856897586317558</v>
      </c>
      <c r="P72" s="85">
        <f t="shared" si="9"/>
        <v>6.3417487532690305E-5</v>
      </c>
      <c r="Q72" s="86">
        <f t="shared" si="10"/>
        <v>4.1284157191672459E-5</v>
      </c>
    </row>
    <row r="73" spans="1:17" x14ac:dyDescent="0.3">
      <c r="A73" s="76" t="s">
        <v>190</v>
      </c>
      <c r="B73" s="76">
        <v>8136</v>
      </c>
      <c r="C73" s="77" t="s">
        <v>191</v>
      </c>
      <c r="D73" s="71">
        <v>1746.9950510919671</v>
      </c>
      <c r="E73" s="72">
        <v>3764.1108719628496</v>
      </c>
      <c r="F73" s="73">
        <f t="shared" si="11"/>
        <v>5511.1059230548162</v>
      </c>
      <c r="G73" s="67" t="s">
        <v>394</v>
      </c>
      <c r="H73" s="84">
        <f t="shared" si="8"/>
        <v>8678.703928965022</v>
      </c>
      <c r="I73" s="62">
        <f t="shared" si="12"/>
        <v>4680.5744820901436</v>
      </c>
      <c r="J73" s="62">
        <f t="shared" si="12"/>
        <v>830.5314409646727</v>
      </c>
      <c r="K73" s="62">
        <f t="shared" si="12"/>
        <v>2892.5765629042876</v>
      </c>
      <c r="L73" s="62">
        <f t="shared" si="12"/>
        <v>206.18017181278975</v>
      </c>
      <c r="M73" s="62">
        <f t="shared" si="12"/>
        <v>51.273304401505605</v>
      </c>
      <c r="N73" s="62">
        <f t="shared" si="12"/>
        <v>17.567966791622524</v>
      </c>
      <c r="P73" s="85">
        <f t="shared" si="9"/>
        <v>1.1269990685370644E-4</v>
      </c>
      <c r="Q73" s="86">
        <f t="shared" si="10"/>
        <v>7.3366524771844471E-5</v>
      </c>
    </row>
    <row r="74" spans="1:17" x14ac:dyDescent="0.3">
      <c r="A74" s="66" t="s">
        <v>192</v>
      </c>
      <c r="B74" s="66">
        <v>8137</v>
      </c>
      <c r="C74" s="67" t="s">
        <v>193</v>
      </c>
      <c r="D74" s="71">
        <v>75.188799683461369</v>
      </c>
      <c r="E74" s="72">
        <v>1694.2011868179516</v>
      </c>
      <c r="F74" s="73">
        <f t="shared" si="11"/>
        <v>1769.389986501413</v>
      </c>
      <c r="G74" s="67" t="s">
        <v>394</v>
      </c>
      <c r="H74" s="84">
        <f t="shared" si="8"/>
        <v>2786.3757369427067</v>
      </c>
      <c r="I74" s="62">
        <f t="shared" si="12"/>
        <v>1502.7404182233067</v>
      </c>
      <c r="J74" s="62">
        <f t="shared" si="12"/>
        <v>266.6495682781063</v>
      </c>
      <c r="K74" s="62">
        <f t="shared" si="12"/>
        <v>928.68764945721659</v>
      </c>
      <c r="L74" s="62">
        <f t="shared" si="12"/>
        <v>66.195993420223431</v>
      </c>
      <c r="M74" s="62">
        <f t="shared" si="12"/>
        <v>16.461754255772895</v>
      </c>
      <c r="N74" s="62">
        <f t="shared" si="12"/>
        <v>5.6403533080808597</v>
      </c>
      <c r="P74" s="85">
        <f t="shared" si="9"/>
        <v>3.6183315917117548E-5</v>
      </c>
      <c r="Q74" s="86">
        <f t="shared" si="10"/>
        <v>2.3554980812953301E-5</v>
      </c>
    </row>
    <row r="75" spans="1:17" x14ac:dyDescent="0.3">
      <c r="A75" s="66" t="s">
        <v>194</v>
      </c>
      <c r="B75" s="66">
        <v>8145</v>
      </c>
      <c r="C75" s="67" t="s">
        <v>195</v>
      </c>
      <c r="D75" s="71">
        <v>793.21887534541725</v>
      </c>
      <c r="E75" s="72">
        <v>3368.0476611177783</v>
      </c>
      <c r="F75" s="73">
        <f t="shared" si="11"/>
        <v>4161.2665364631957</v>
      </c>
      <c r="G75" s="67" t="s">
        <v>395</v>
      </c>
      <c r="H75" s="84">
        <f t="shared" si="8"/>
        <v>6553.0223413770873</v>
      </c>
      <c r="I75" s="62">
        <f t="shared" si="12"/>
        <v>3534.1577962176175</v>
      </c>
      <c r="J75" s="62">
        <f t="shared" si="12"/>
        <v>627.10874024557836</v>
      </c>
      <c r="K75" s="62">
        <f t="shared" si="12"/>
        <v>2184.0955741782095</v>
      </c>
      <c r="L75" s="62">
        <f t="shared" si="12"/>
        <v>155.68030472025831</v>
      </c>
      <c r="M75" s="62">
        <f t="shared" si="12"/>
        <v>38.714894759563876</v>
      </c>
      <c r="N75" s="62">
        <f t="shared" si="12"/>
        <v>13.265031255859672</v>
      </c>
      <c r="P75" s="85">
        <f t="shared" si="9"/>
        <v>8.5096232516774863E-5</v>
      </c>
      <c r="Q75" s="86">
        <f t="shared" si="10"/>
        <v>5.5396805775862764E-5</v>
      </c>
    </row>
    <row r="76" spans="1:17" x14ac:dyDescent="0.3">
      <c r="A76" s="66" t="s">
        <v>196</v>
      </c>
      <c r="B76" s="66">
        <v>8146</v>
      </c>
      <c r="C76" s="67" t="s">
        <v>197</v>
      </c>
      <c r="D76" s="71">
        <v>140.8383992463022</v>
      </c>
      <c r="E76" s="72">
        <v>866.14132070991604</v>
      </c>
      <c r="F76" s="73">
        <f t="shared" si="11"/>
        <v>1006.9797199562182</v>
      </c>
      <c r="G76" s="67" t="s">
        <v>395</v>
      </c>
      <c r="H76" s="84">
        <f t="shared" si="8"/>
        <v>1585.7577361038871</v>
      </c>
      <c r="I76" s="62">
        <f t="shared" si="12"/>
        <v>855.22645491030482</v>
      </c>
      <c r="J76" s="62">
        <f t="shared" si="12"/>
        <v>151.75326504591337</v>
      </c>
      <c r="K76" s="62">
        <f t="shared" si="12"/>
        <v>528.52657487133331</v>
      </c>
      <c r="L76" s="62">
        <f t="shared" si="12"/>
        <v>37.672883550291878</v>
      </c>
      <c r="M76" s="62">
        <f t="shared" si="12"/>
        <v>9.3685692905061764</v>
      </c>
      <c r="N76" s="62">
        <f t="shared" si="12"/>
        <v>3.2099884355375026</v>
      </c>
      <c r="P76" s="85">
        <f t="shared" si="9"/>
        <v>2.0592331598615217E-5</v>
      </c>
      <c r="Q76" s="86">
        <f t="shared" si="10"/>
        <v>1.3405404214760917E-5</v>
      </c>
    </row>
    <row r="77" spans="1:17" x14ac:dyDescent="0.3">
      <c r="A77" s="66" t="s">
        <v>198</v>
      </c>
      <c r="B77" s="66">
        <v>8147</v>
      </c>
      <c r="C77" s="67" t="s">
        <v>199</v>
      </c>
      <c r="D77" s="71">
        <v>2169.7529040339978</v>
      </c>
      <c r="E77" s="72">
        <v>4719.9624402031786</v>
      </c>
      <c r="F77" s="73">
        <f t="shared" si="11"/>
        <v>6889.7153442371764</v>
      </c>
      <c r="G77" s="67" t="s">
        <v>392</v>
      </c>
      <c r="H77" s="84">
        <f t="shared" si="8"/>
        <v>10849.691597714378</v>
      </c>
      <c r="I77" s="62">
        <f t="shared" si="12"/>
        <v>5851.4255177346349</v>
      </c>
      <c r="J77" s="62">
        <f t="shared" si="12"/>
        <v>1038.2898265025424</v>
      </c>
      <c r="K77" s="62">
        <f t="shared" si="12"/>
        <v>3616.1578833846484</v>
      </c>
      <c r="L77" s="62">
        <f t="shared" si="12"/>
        <v>257.75637653297662</v>
      </c>
      <c r="M77" s="62">
        <f t="shared" si="12"/>
        <v>64.099379873465551</v>
      </c>
      <c r="N77" s="62">
        <f t="shared" si="12"/>
        <v>21.962613686110956</v>
      </c>
      <c r="P77" s="85">
        <f t="shared" si="9"/>
        <v>1.4089191686478833E-4</v>
      </c>
      <c r="Q77" s="86">
        <f t="shared" si="10"/>
        <v>9.1719244473121726E-5</v>
      </c>
    </row>
    <row r="78" spans="1:17" x14ac:dyDescent="0.3">
      <c r="A78" s="66" t="s">
        <v>200</v>
      </c>
      <c r="B78" s="66">
        <v>8148</v>
      </c>
      <c r="C78" s="67" t="s">
        <v>201</v>
      </c>
      <c r="D78" s="71">
        <v>3311.1673024544903</v>
      </c>
      <c r="E78" s="72">
        <v>4342.2785902760679</v>
      </c>
      <c r="F78" s="73">
        <f t="shared" si="11"/>
        <v>7653.4458927305586</v>
      </c>
      <c r="G78" s="67" t="s">
        <v>397</v>
      </c>
      <c r="H78" s="84">
        <f t="shared" si="8"/>
        <v>12052.388734082628</v>
      </c>
      <c r="I78" s="62">
        <f t="shared" si="12"/>
        <v>6500.060794642789</v>
      </c>
      <c r="J78" s="62">
        <f t="shared" si="12"/>
        <v>1153.3850980877694</v>
      </c>
      <c r="K78" s="62">
        <f t="shared" si="12"/>
        <v>4017.0119253482358</v>
      </c>
      <c r="L78" s="62">
        <f t="shared" si="12"/>
        <v>286.32888047421056</v>
      </c>
      <c r="M78" s="62">
        <f t="shared" si="12"/>
        <v>71.204848256828456</v>
      </c>
      <c r="N78" s="62">
        <f t="shared" si="12"/>
        <v>24.397187272793577</v>
      </c>
      <c r="P78" s="85">
        <f t="shared" si="9"/>
        <v>1.5650990041986111E-4</v>
      </c>
      <c r="Q78" s="86">
        <f t="shared" si="10"/>
        <v>1.0188639730730192E-4</v>
      </c>
    </row>
    <row r="79" spans="1:17" x14ac:dyDescent="0.3">
      <c r="A79" s="66" t="s">
        <v>202</v>
      </c>
      <c r="B79" s="66">
        <v>8153</v>
      </c>
      <c r="C79" s="67" t="s">
        <v>203</v>
      </c>
      <c r="D79" s="71">
        <v>47.130979273751898</v>
      </c>
      <c r="E79" s="72">
        <v>130.66257943295577</v>
      </c>
      <c r="F79" s="73">
        <f t="shared" si="11"/>
        <v>177.79355870670767</v>
      </c>
      <c r="G79" s="67" t="s">
        <v>393</v>
      </c>
      <c r="H79" s="84">
        <f t="shared" si="8"/>
        <v>279.98330607974958</v>
      </c>
      <c r="I79" s="62">
        <f t="shared" si="12"/>
        <v>150.99981847224871</v>
      </c>
      <c r="J79" s="62">
        <f t="shared" si="12"/>
        <v>26.793740234458987</v>
      </c>
      <c r="K79" s="62">
        <f t="shared" si="12"/>
        <v>93.317292051847005</v>
      </c>
      <c r="L79" s="62">
        <f t="shared" si="12"/>
        <v>6.6515699377153288</v>
      </c>
      <c r="M79" s="62">
        <f t="shared" si="12"/>
        <v>1.6541259383276248</v>
      </c>
      <c r="N79" s="62">
        <f t="shared" si="12"/>
        <v>0.56675944515188781</v>
      </c>
      <c r="P79" s="85">
        <f t="shared" si="9"/>
        <v>3.6358070022955071E-6</v>
      </c>
      <c r="Q79" s="86">
        <f t="shared" si="10"/>
        <v>2.3668744007554276E-6</v>
      </c>
    </row>
    <row r="80" spans="1:17" x14ac:dyDescent="0.3">
      <c r="A80" s="66" t="s">
        <v>204</v>
      </c>
      <c r="B80" s="66">
        <v>8154</v>
      </c>
      <c r="C80" s="67" t="s">
        <v>205</v>
      </c>
      <c r="D80" s="71">
        <v>162.61716738710552</v>
      </c>
      <c r="E80" s="72">
        <v>777.53922350851849</v>
      </c>
      <c r="F80" s="73">
        <f t="shared" si="11"/>
        <v>940.15639089562399</v>
      </c>
      <c r="G80" s="67" t="s">
        <v>395</v>
      </c>
      <c r="H80" s="84">
        <f t="shared" si="8"/>
        <v>1480.5266088924473</v>
      </c>
      <c r="I80" s="62">
        <f t="shared" si="12"/>
        <v>798.47349585341203</v>
      </c>
      <c r="J80" s="62">
        <f t="shared" si="12"/>
        <v>141.68289504221207</v>
      </c>
      <c r="K80" s="62">
        <f t="shared" si="12"/>
        <v>493.45347009080064</v>
      </c>
      <c r="L80" s="62">
        <f t="shared" si="12"/>
        <v>35.17290520489675</v>
      </c>
      <c r="M80" s="62">
        <f t="shared" si="12"/>
        <v>8.74686959177372</v>
      </c>
      <c r="N80" s="62">
        <f t="shared" si="12"/>
        <v>2.9969731093520346</v>
      </c>
      <c r="P80" s="85">
        <f t="shared" si="9"/>
        <v>1.9225821307227262E-5</v>
      </c>
      <c r="Q80" s="86">
        <f t="shared" si="10"/>
        <v>1.2515819529706694E-5</v>
      </c>
    </row>
    <row r="81" spans="1:17" x14ac:dyDescent="0.3">
      <c r="A81" s="66" t="s">
        <v>206</v>
      </c>
      <c r="B81" s="66">
        <v>8155</v>
      </c>
      <c r="C81" s="67" t="s">
        <v>207</v>
      </c>
      <c r="D81" s="71">
        <v>2228.784347389942</v>
      </c>
      <c r="E81" s="72">
        <v>4055.0933882187887</v>
      </c>
      <c r="F81" s="73">
        <f t="shared" si="11"/>
        <v>6283.8777356087303</v>
      </c>
      <c r="G81" s="67" t="s">
        <v>393</v>
      </c>
      <c r="H81" s="84">
        <f t="shared" si="8"/>
        <v>9895.6389433600216</v>
      </c>
      <c r="I81" s="62">
        <f t="shared" si="12"/>
        <v>5336.8884918040922</v>
      </c>
      <c r="J81" s="62">
        <f t="shared" si="12"/>
        <v>946.98924380463825</v>
      </c>
      <c r="K81" s="62">
        <f t="shared" si="12"/>
        <v>3298.1760314457101</v>
      </c>
      <c r="L81" s="62">
        <f t="shared" si="12"/>
        <v>235.090925354636</v>
      </c>
      <c r="M81" s="62">
        <f t="shared" si="12"/>
        <v>58.462889383392003</v>
      </c>
      <c r="N81" s="62">
        <f t="shared" si="12"/>
        <v>20.031361567552342</v>
      </c>
      <c r="P81" s="85">
        <f t="shared" si="9"/>
        <v>1.2850278063438695E-4</v>
      </c>
      <c r="Q81" s="86">
        <f t="shared" si="10"/>
        <v>8.3654039314350938E-5</v>
      </c>
    </row>
    <row r="82" spans="1:17" x14ac:dyDescent="0.3">
      <c r="A82" s="66" t="s">
        <v>208</v>
      </c>
      <c r="B82" s="66">
        <v>8156</v>
      </c>
      <c r="C82" s="67" t="s">
        <v>209</v>
      </c>
      <c r="D82" s="71">
        <v>4668.7629613080171</v>
      </c>
      <c r="E82" s="72">
        <v>8759.421325639807</v>
      </c>
      <c r="F82" s="73">
        <f t="shared" si="11"/>
        <v>13428.184286947824</v>
      </c>
      <c r="G82" s="67" t="s">
        <v>398</v>
      </c>
      <c r="H82" s="84">
        <f t="shared" si="8"/>
        <v>21146.252196401725</v>
      </c>
      <c r="I82" s="62">
        <f t="shared" si="12"/>
        <v>11404.537962401031</v>
      </c>
      <c r="J82" s="62">
        <f t="shared" si="12"/>
        <v>2023.6463245467953</v>
      </c>
      <c r="K82" s="62">
        <f t="shared" si="12"/>
        <v>7047.9594645959342</v>
      </c>
      <c r="L82" s="62">
        <f t="shared" si="12"/>
        <v>502.37200701126272</v>
      </c>
      <c r="M82" s="62">
        <f t="shared" si="12"/>
        <v>124.93089229585145</v>
      </c>
      <c r="N82" s="62">
        <f t="shared" si="12"/>
        <v>42.805545550850837</v>
      </c>
      <c r="P82" s="85">
        <f t="shared" si="9"/>
        <v>2.7460098562478161E-4</v>
      </c>
      <c r="Q82" s="86">
        <f t="shared" si="10"/>
        <v>1.7876252586761457E-4</v>
      </c>
    </row>
    <row r="83" spans="1:17" x14ac:dyDescent="0.3">
      <c r="A83" s="76" t="s">
        <v>210</v>
      </c>
      <c r="B83" s="76">
        <v>8157</v>
      </c>
      <c r="C83" s="77" t="s">
        <v>211</v>
      </c>
      <c r="D83" s="71">
        <v>2143.6383984829163</v>
      </c>
      <c r="E83" s="72">
        <v>3379.1274058370927</v>
      </c>
      <c r="F83" s="73">
        <f t="shared" si="11"/>
        <v>5522.765804320009</v>
      </c>
      <c r="G83" s="67" t="s">
        <v>392</v>
      </c>
      <c r="H83" s="84">
        <f t="shared" si="8"/>
        <v>8697.0655171399412</v>
      </c>
      <c r="I83" s="62">
        <f t="shared" si="12"/>
        <v>4690.4772027919462</v>
      </c>
      <c r="J83" s="62">
        <f t="shared" si="12"/>
        <v>832.28860152806271</v>
      </c>
      <c r="K83" s="62">
        <f t="shared" si="12"/>
        <v>2898.6964052271965</v>
      </c>
      <c r="L83" s="62">
        <f t="shared" si="12"/>
        <v>206.61638849164493</v>
      </c>
      <c r="M83" s="62">
        <f t="shared" si="12"/>
        <v>51.381783652266265</v>
      </c>
      <c r="N83" s="62">
        <f t="shared" si="12"/>
        <v>17.605135448825113</v>
      </c>
      <c r="P83" s="85">
        <f t="shared" si="9"/>
        <v>1.1293834675140742E-4</v>
      </c>
      <c r="Q83" s="86">
        <f t="shared" si="10"/>
        <v>7.3521746787102958E-5</v>
      </c>
    </row>
    <row r="84" spans="1:17" x14ac:dyDescent="0.3">
      <c r="A84" s="76" t="s">
        <v>212</v>
      </c>
      <c r="B84" s="76">
        <v>8158</v>
      </c>
      <c r="C84" s="77" t="s">
        <v>213</v>
      </c>
      <c r="D84" s="71">
        <v>387.66176006679433</v>
      </c>
      <c r="E84" s="72">
        <v>1265.2059857194251</v>
      </c>
      <c r="F84" s="73">
        <f t="shared" si="11"/>
        <v>1652.8677457862195</v>
      </c>
      <c r="G84" s="67" t="s">
        <v>392</v>
      </c>
      <c r="H84" s="84">
        <f t="shared" si="8"/>
        <v>2602.8804380996366</v>
      </c>
      <c r="I84" s="62">
        <f t="shared" si="12"/>
        <v>1403.7782436430753</v>
      </c>
      <c r="J84" s="62">
        <f t="shared" si="12"/>
        <v>249.08950214314456</v>
      </c>
      <c r="K84" s="62">
        <f t="shared" si="12"/>
        <v>867.52941601810426</v>
      </c>
      <c r="L84" s="62">
        <f t="shared" si="12"/>
        <v>61.836691322586937</v>
      </c>
      <c r="M84" s="62">
        <f t="shared" si="12"/>
        <v>15.377674145328575</v>
      </c>
      <c r="N84" s="62">
        <f t="shared" si="12"/>
        <v>5.2689108273971863</v>
      </c>
      <c r="P84" s="85">
        <f t="shared" si="9"/>
        <v>3.3800482805517992E-5</v>
      </c>
      <c r="Q84" s="86">
        <f t="shared" si="10"/>
        <v>2.2003780023264356E-5</v>
      </c>
    </row>
    <row r="85" spans="1:17" x14ac:dyDescent="0.3">
      <c r="A85" s="76" t="s">
        <v>214</v>
      </c>
      <c r="B85" s="76">
        <v>8159</v>
      </c>
      <c r="C85" s="77" t="s">
        <v>215</v>
      </c>
      <c r="D85" s="71">
        <v>8977.540484296107</v>
      </c>
      <c r="E85" s="72">
        <v>14295.542881645009</v>
      </c>
      <c r="F85" s="73">
        <f t="shared" si="11"/>
        <v>23273.083365941115</v>
      </c>
      <c r="G85" s="67" t="s">
        <v>394</v>
      </c>
      <c r="H85" s="84">
        <f t="shared" si="8"/>
        <v>36649.667574374202</v>
      </c>
      <c r="I85" s="62">
        <f t="shared" si="12"/>
        <v>19765.796855125533</v>
      </c>
      <c r="J85" s="62">
        <f t="shared" si="12"/>
        <v>3507.2865108155852</v>
      </c>
      <c r="K85" s="62">
        <f t="shared" si="12"/>
        <v>12215.184471272829</v>
      </c>
      <c r="L85" s="62">
        <f t="shared" si="12"/>
        <v>870.68700801586635</v>
      </c>
      <c r="M85" s="62">
        <f t="shared" si="12"/>
        <v>216.52421572802461</v>
      </c>
      <c r="N85" s="62">
        <f t="shared" si="12"/>
        <v>74.188513416356884</v>
      </c>
      <c r="P85" s="85">
        <f t="shared" si="9"/>
        <v>4.7592522520166784E-4</v>
      </c>
      <c r="Q85" s="86">
        <f t="shared" si="10"/>
        <v>3.0982261475716105E-4</v>
      </c>
    </row>
    <row r="86" spans="1:17" x14ac:dyDescent="0.3">
      <c r="A86" s="66" t="s">
        <v>216</v>
      </c>
      <c r="B86" s="66">
        <v>8163</v>
      </c>
      <c r="C86" s="67" t="s">
        <v>217</v>
      </c>
      <c r="D86" s="71">
        <v>3241.5863013258022</v>
      </c>
      <c r="E86" s="72">
        <v>6469.7472280048214</v>
      </c>
      <c r="F86" s="73">
        <f t="shared" si="11"/>
        <v>9711.3335293306227</v>
      </c>
      <c r="G86" s="67" t="s">
        <v>393</v>
      </c>
      <c r="H86" s="84">
        <f t="shared" si="8"/>
        <v>15293.080850417386</v>
      </c>
      <c r="I86" s="62">
        <f t="shared" si="12"/>
        <v>8247.8218599100619</v>
      </c>
      <c r="J86" s="62">
        <f t="shared" si="12"/>
        <v>1463.5116694205622</v>
      </c>
      <c r="K86" s="62">
        <f t="shared" si="12"/>
        <v>5097.121367959041</v>
      </c>
      <c r="L86" s="62">
        <f t="shared" si="12"/>
        <v>363.31807872399293</v>
      </c>
      <c r="M86" s="62">
        <f t="shared" si="12"/>
        <v>90.350678638002307</v>
      </c>
      <c r="N86" s="62">
        <f t="shared" si="12"/>
        <v>30.957195765724315</v>
      </c>
      <c r="P86" s="85">
        <f t="shared" si="9"/>
        <v>1.9859287762957254E-4</v>
      </c>
      <c r="Q86" s="86">
        <f t="shared" si="10"/>
        <v>1.2928199927472023E-4</v>
      </c>
    </row>
    <row r="87" spans="1:17" x14ac:dyDescent="0.3">
      <c r="A87" s="66" t="s">
        <v>218</v>
      </c>
      <c r="B87" s="66">
        <v>8164</v>
      </c>
      <c r="C87" s="67" t="s">
        <v>219</v>
      </c>
      <c r="D87" s="71">
        <v>130.84907556956767</v>
      </c>
      <c r="E87" s="72">
        <v>352.4093708059217</v>
      </c>
      <c r="F87" s="73">
        <f t="shared" si="11"/>
        <v>483.25844637548937</v>
      </c>
      <c r="G87" s="67" t="s">
        <v>395</v>
      </c>
      <c r="H87" s="84">
        <f t="shared" si="8"/>
        <v>761.01911954174864</v>
      </c>
      <c r="I87" s="62">
        <f t="shared" si="12"/>
        <v>410.43071643701114</v>
      </c>
      <c r="J87" s="62">
        <f t="shared" si="12"/>
        <v>72.827729938478285</v>
      </c>
      <c r="K87" s="62">
        <f t="shared" si="12"/>
        <v>253.64456341939467</v>
      </c>
      <c r="L87" s="62">
        <f t="shared" si="12"/>
        <v>18.079548986140793</v>
      </c>
      <c r="M87" s="62">
        <f t="shared" si="12"/>
        <v>4.4960590073134545</v>
      </c>
      <c r="N87" s="62">
        <f t="shared" si="12"/>
        <v>1.5405017534102743</v>
      </c>
      <c r="P87" s="85">
        <f t="shared" si="9"/>
        <v>9.8824415014319844E-6</v>
      </c>
      <c r="Q87" s="86">
        <f t="shared" si="10"/>
        <v>6.4333716811520926E-6</v>
      </c>
    </row>
    <row r="88" spans="1:17" x14ac:dyDescent="0.3">
      <c r="A88" s="66" t="s">
        <v>220</v>
      </c>
      <c r="B88" s="66">
        <v>8167</v>
      </c>
      <c r="C88" s="67" t="s">
        <v>221</v>
      </c>
      <c r="D88" s="71">
        <v>1061.7872146790457</v>
      </c>
      <c r="E88" s="72">
        <v>3418.0764741372204</v>
      </c>
      <c r="F88" s="73">
        <f t="shared" si="11"/>
        <v>4479.8636888162664</v>
      </c>
      <c r="G88" s="67" t="s">
        <v>398</v>
      </c>
      <c r="H88" s="84">
        <f t="shared" si="8"/>
        <v>7054.7384028152619</v>
      </c>
      <c r="I88" s="62">
        <f t="shared" si="12"/>
        <v>3804.7419080439031</v>
      </c>
      <c r="J88" s="62">
        <f t="shared" si="12"/>
        <v>675.12178077236354</v>
      </c>
      <c r="K88" s="62">
        <f t="shared" si="12"/>
        <v>2351.3154877075999</v>
      </c>
      <c r="L88" s="62">
        <f t="shared" si="12"/>
        <v>167.59958490255795</v>
      </c>
      <c r="M88" s="62">
        <f t="shared" si="12"/>
        <v>41.679005593600799</v>
      </c>
      <c r="N88" s="62">
        <f t="shared" si="12"/>
        <v>14.280635795237091</v>
      </c>
      <c r="P88" s="85">
        <f t="shared" si="9"/>
        <v>9.1611416564288951E-5</v>
      </c>
      <c r="Q88" s="86">
        <f t="shared" si="10"/>
        <v>5.96381261563272E-5</v>
      </c>
    </row>
    <row r="89" spans="1:17" x14ac:dyDescent="0.3">
      <c r="A89" s="66" t="s">
        <v>222</v>
      </c>
      <c r="B89" s="66">
        <v>8168</v>
      </c>
      <c r="C89" s="67" t="s">
        <v>223</v>
      </c>
      <c r="D89" s="71">
        <v>182.78917883007855</v>
      </c>
      <c r="E89" s="72">
        <v>270.75501309498998</v>
      </c>
      <c r="F89" s="73">
        <f t="shared" si="11"/>
        <v>453.5441919250685</v>
      </c>
      <c r="G89" s="67" t="s">
        <v>395</v>
      </c>
      <c r="H89" s="84">
        <f t="shared" si="8"/>
        <v>714.22611275769657</v>
      </c>
      <c r="I89" s="62">
        <f t="shared" si="12"/>
        <v>385.19444207088878</v>
      </c>
      <c r="J89" s="62">
        <f t="shared" si="12"/>
        <v>68.349749854179777</v>
      </c>
      <c r="K89" s="62">
        <f t="shared" si="12"/>
        <v>238.0486454298854</v>
      </c>
      <c r="L89" s="62">
        <f t="shared" si="12"/>
        <v>16.967886431761727</v>
      </c>
      <c r="M89" s="62">
        <f t="shared" si="12"/>
        <v>4.2196085026830312</v>
      </c>
      <c r="N89" s="62">
        <f t="shared" si="12"/>
        <v>1.4457804682977826</v>
      </c>
      <c r="P89" s="85">
        <f t="shared" si="9"/>
        <v>9.2747969096667227E-6</v>
      </c>
      <c r="Q89" s="86">
        <f t="shared" si="10"/>
        <v>6.0378010614523549E-6</v>
      </c>
    </row>
    <row r="90" spans="1:17" x14ac:dyDescent="0.3">
      <c r="A90" s="74" t="s">
        <v>224</v>
      </c>
      <c r="B90" s="74">
        <v>8169</v>
      </c>
      <c r="C90" s="75" t="s">
        <v>225</v>
      </c>
      <c r="D90" s="71">
        <v>24111.590973711693</v>
      </c>
      <c r="E90" s="72">
        <v>55589.523813620392</v>
      </c>
      <c r="F90" s="73">
        <f t="shared" si="11"/>
        <v>79701.114787332088</v>
      </c>
      <c r="G90" s="67" t="s">
        <v>392</v>
      </c>
      <c r="H90" s="84">
        <f t="shared" si="8"/>
        <v>125510.63029909962</v>
      </c>
      <c r="I90" s="62">
        <f t="shared" si="12"/>
        <v>67690.044298938708</v>
      </c>
      <c r="J90" s="62">
        <f t="shared" si="12"/>
        <v>12011.070488393389</v>
      </c>
      <c r="K90" s="62">
        <f t="shared" si="12"/>
        <v>41832.180308265881</v>
      </c>
      <c r="L90" s="62">
        <f t="shared" si="12"/>
        <v>2981.7589735989468</v>
      </c>
      <c r="M90" s="62">
        <f t="shared" si="12"/>
        <v>741.509885073129</v>
      </c>
      <c r="N90" s="62">
        <f t="shared" si="12"/>
        <v>254.06634482957261</v>
      </c>
      <c r="P90" s="85">
        <f t="shared" si="9"/>
        <v>1.6298558470982864E-3</v>
      </c>
      <c r="Q90" s="86">
        <f t="shared" si="10"/>
        <v>1.0610200373625189E-3</v>
      </c>
    </row>
    <row r="91" spans="1:17" x14ac:dyDescent="0.3">
      <c r="A91" s="66" t="s">
        <v>226</v>
      </c>
      <c r="B91" s="66">
        <v>8172</v>
      </c>
      <c r="C91" s="67" t="s">
        <v>227</v>
      </c>
      <c r="D91" s="71">
        <v>1139.0457045747503</v>
      </c>
      <c r="E91" s="72">
        <v>3449.7480216468325</v>
      </c>
      <c r="F91" s="73">
        <f t="shared" si="11"/>
        <v>4588.7937262215828</v>
      </c>
      <c r="G91" s="67" t="s">
        <v>393</v>
      </c>
      <c r="H91" s="84">
        <f t="shared" si="8"/>
        <v>7226.2777556803603</v>
      </c>
      <c r="I91" s="62">
        <f t="shared" si="12"/>
        <v>3897.2560350686722</v>
      </c>
      <c r="J91" s="62">
        <f t="shared" si="12"/>
        <v>691.53769115291118</v>
      </c>
      <c r="K91" s="62">
        <f t="shared" si="12"/>
        <v>2408.4888531979609</v>
      </c>
      <c r="L91" s="62">
        <f t="shared" si="12"/>
        <v>171.67484931252827</v>
      </c>
      <c r="M91" s="62">
        <f t="shared" si="12"/>
        <v>42.692450634275012</v>
      </c>
      <c r="N91" s="62">
        <f t="shared" si="12"/>
        <v>14.627876314012321</v>
      </c>
      <c r="P91" s="85">
        <f t="shared" si="9"/>
        <v>9.3838992161737308E-5</v>
      </c>
      <c r="Q91" s="86">
        <f t="shared" si="10"/>
        <v>6.1088255839783774E-5</v>
      </c>
    </row>
    <row r="92" spans="1:17" x14ac:dyDescent="0.3">
      <c r="A92" s="66" t="s">
        <v>228</v>
      </c>
      <c r="B92" s="66">
        <v>8174</v>
      </c>
      <c r="C92" s="67" t="s">
        <v>229</v>
      </c>
      <c r="D92" s="71">
        <v>20.659939229925023</v>
      </c>
      <c r="E92" s="72">
        <v>72.714910167555914</v>
      </c>
      <c r="F92" s="73">
        <f t="shared" si="11"/>
        <v>93.374849397480943</v>
      </c>
      <c r="G92" s="67" t="s">
        <v>395</v>
      </c>
      <c r="H92" s="84">
        <f t="shared" si="8"/>
        <v>147.04356687146452</v>
      </c>
      <c r="I92" s="62">
        <f t="shared" si="12"/>
        <v>79.303127804265301</v>
      </c>
      <c r="J92" s="62">
        <f t="shared" si="12"/>
        <v>14.071721593215655</v>
      </c>
      <c r="K92" s="62">
        <f t="shared" si="12"/>
        <v>49.009020095581356</v>
      </c>
      <c r="L92" s="62">
        <f t="shared" si="12"/>
        <v>3.493317450355689</v>
      </c>
      <c r="M92" s="62">
        <f t="shared" si="12"/>
        <v>0.8687252873463166</v>
      </c>
      <c r="N92" s="62">
        <f t="shared" si="12"/>
        <v>0.29765464070021347</v>
      </c>
      <c r="P92" s="85">
        <f t="shared" si="9"/>
        <v>1.909478238397179E-6</v>
      </c>
      <c r="Q92" s="86">
        <f t="shared" si="10"/>
        <v>1.2430514486628194E-6</v>
      </c>
    </row>
    <row r="93" spans="1:17" x14ac:dyDescent="0.3">
      <c r="A93" s="66" t="s">
        <v>230</v>
      </c>
      <c r="B93" s="66">
        <v>8179</v>
      </c>
      <c r="C93" s="67" t="s">
        <v>231</v>
      </c>
      <c r="D93" s="71">
        <v>194.46778460843473</v>
      </c>
      <c r="E93" s="72">
        <v>626.4735804442405</v>
      </c>
      <c r="F93" s="73">
        <f t="shared" si="11"/>
        <v>820.94136505267522</v>
      </c>
      <c r="G93" s="67" t="s">
        <v>398</v>
      </c>
      <c r="H93" s="84">
        <f t="shared" si="8"/>
        <v>1292.7908027547621</v>
      </c>
      <c r="I93" s="62">
        <f t="shared" si="12"/>
        <v>697.22434266476751</v>
      </c>
      <c r="J93" s="62">
        <f t="shared" si="12"/>
        <v>123.71702238790776</v>
      </c>
      <c r="K93" s="62">
        <f t="shared" si="12"/>
        <v>430.88189289487593</v>
      </c>
      <c r="L93" s="62">
        <f t="shared" si="12"/>
        <v>30.712861276483064</v>
      </c>
      <c r="M93" s="62">
        <f t="shared" si="12"/>
        <v>7.6377367979894437</v>
      </c>
      <c r="N93" s="62">
        <f t="shared" si="12"/>
        <v>2.6169467327386027</v>
      </c>
      <c r="P93" s="85">
        <f t="shared" si="9"/>
        <v>1.678792181923934E-5</v>
      </c>
      <c r="Q93" s="86">
        <f t="shared" si="10"/>
        <v>1.0928771073589442E-5</v>
      </c>
    </row>
    <row r="94" spans="1:17" x14ac:dyDescent="0.3">
      <c r="A94" s="76" t="s">
        <v>232</v>
      </c>
      <c r="B94" s="76">
        <v>8180</v>
      </c>
      <c r="C94" s="77" t="s">
        <v>233</v>
      </c>
      <c r="D94" s="71">
        <v>5445.4473692926113</v>
      </c>
      <c r="E94" s="72">
        <v>8890.3967182847409</v>
      </c>
      <c r="F94" s="73">
        <f t="shared" si="11"/>
        <v>14335.844087577352</v>
      </c>
      <c r="G94" s="67" t="s">
        <v>398</v>
      </c>
      <c r="H94" s="84">
        <f t="shared" si="8"/>
        <v>22575.604269809286</v>
      </c>
      <c r="I94" s="62">
        <f t="shared" si="12"/>
        <v>12175.412150007049</v>
      </c>
      <c r="J94" s="62">
        <f t="shared" si="12"/>
        <v>2160.4319375703053</v>
      </c>
      <c r="K94" s="62">
        <f t="shared" si="12"/>
        <v>7524.3566710818577</v>
      </c>
      <c r="L94" s="62">
        <f t="shared" si="12"/>
        <v>536.32915758216404</v>
      </c>
      <c r="M94" s="62">
        <f t="shared" si="12"/>
        <v>133.37542555296059</v>
      </c>
      <c r="N94" s="62">
        <f t="shared" si="12"/>
        <v>45.698928014948258</v>
      </c>
      <c r="P94" s="85">
        <f t="shared" si="9"/>
        <v>2.9316226468818605E-4</v>
      </c>
      <c r="Q94" s="86">
        <f t="shared" si="10"/>
        <v>1.9084573496884369E-4</v>
      </c>
    </row>
    <row r="95" spans="1:17" x14ac:dyDescent="0.3">
      <c r="A95" s="66" t="s">
        <v>234</v>
      </c>
      <c r="B95" s="66">
        <v>8181</v>
      </c>
      <c r="C95" s="67" t="s">
        <v>235</v>
      </c>
      <c r="D95" s="71">
        <v>1033.7740818172629</v>
      </c>
      <c r="E95" s="72">
        <v>4237.7432021585928</v>
      </c>
      <c r="F95" s="73">
        <f t="shared" si="11"/>
        <v>5271.5172839758561</v>
      </c>
      <c r="G95" s="67" t="s">
        <v>394</v>
      </c>
      <c r="H95" s="84">
        <f t="shared" si="8"/>
        <v>8301.4078122978663</v>
      </c>
      <c r="I95" s="62">
        <f t="shared" si="12"/>
        <v>4477.0921890751542</v>
      </c>
      <c r="J95" s="62">
        <f t="shared" si="12"/>
        <v>794.42509490070245</v>
      </c>
      <c r="K95" s="62">
        <f t="shared" si="12"/>
        <v>2766.8253086526206</v>
      </c>
      <c r="L95" s="62">
        <f t="shared" si="12"/>
        <v>197.21673916254031</v>
      </c>
      <c r="M95" s="62">
        <f t="shared" si="12"/>
        <v>49.044259742565593</v>
      </c>
      <c r="N95" s="62">
        <f t="shared" si="12"/>
        <v>16.804220764281411</v>
      </c>
      <c r="P95" s="85">
        <f t="shared" si="9"/>
        <v>1.0780041522999293E-4</v>
      </c>
      <c r="Q95" s="86">
        <f t="shared" si="10"/>
        <v>7.0177004180250482E-5</v>
      </c>
    </row>
    <row r="96" spans="1:17" x14ac:dyDescent="0.3">
      <c r="A96" s="76" t="s">
        <v>236</v>
      </c>
      <c r="B96" s="76">
        <v>8184</v>
      </c>
      <c r="C96" s="77" t="s">
        <v>237</v>
      </c>
      <c r="D96" s="71">
        <v>42718.9905013323</v>
      </c>
      <c r="E96" s="72">
        <v>48315.106864941816</v>
      </c>
      <c r="F96" s="73">
        <f t="shared" si="11"/>
        <v>91034.097366274116</v>
      </c>
      <c r="G96" s="67" t="s">
        <v>398</v>
      </c>
      <c r="H96" s="84">
        <f t="shared" si="8"/>
        <v>143357.42943669227</v>
      </c>
      <c r="I96" s="62">
        <f t="shared" si="12"/>
        <v>77315.13040789256</v>
      </c>
      <c r="J96" s="62">
        <f t="shared" si="12"/>
        <v>13718.966958381563</v>
      </c>
      <c r="K96" s="62">
        <f t="shared" si="12"/>
        <v>47780.445548190619</v>
      </c>
      <c r="L96" s="62">
        <f t="shared" si="12"/>
        <v>3405.7457972785069</v>
      </c>
      <c r="M96" s="62">
        <f t="shared" si="12"/>
        <v>846.94779057884659</v>
      </c>
      <c r="N96" s="62">
        <f t="shared" si="12"/>
        <v>290.19293437015801</v>
      </c>
      <c r="P96" s="85">
        <f t="shared" si="9"/>
        <v>1.8616107977114434E-3</v>
      </c>
      <c r="Q96" s="86">
        <f t="shared" si="10"/>
        <v>1.2118902181802288E-3</v>
      </c>
    </row>
    <row r="97" spans="1:17" x14ac:dyDescent="0.3">
      <c r="A97" s="76" t="s">
        <v>238</v>
      </c>
      <c r="B97" s="76">
        <v>8187</v>
      </c>
      <c r="C97" s="77" t="s">
        <v>239</v>
      </c>
      <c r="D97" s="71">
        <v>167126.17465513721</v>
      </c>
      <c r="E97" s="72">
        <v>169172.06694655013</v>
      </c>
      <c r="F97" s="73">
        <f t="shared" si="11"/>
        <v>336298.24160168733</v>
      </c>
      <c r="G97" s="67" t="s">
        <v>398</v>
      </c>
      <c r="H97" s="84">
        <f t="shared" si="8"/>
        <v>529591.14040667692</v>
      </c>
      <c r="I97" s="62">
        <f t="shared" si="12"/>
        <v>285617.62194186507</v>
      </c>
      <c r="J97" s="62">
        <f t="shared" si="12"/>
        <v>50680.619659822296</v>
      </c>
      <c r="K97" s="62">
        <f t="shared" si="12"/>
        <v>176510.56346668024</v>
      </c>
      <c r="L97" s="62">
        <f t="shared" si="12"/>
        <v>12581.50908399539</v>
      </c>
      <c r="M97" s="62">
        <f t="shared" si="12"/>
        <v>3128.7952639778869</v>
      </c>
      <c r="N97" s="62">
        <f t="shared" si="12"/>
        <v>1072.0309903360801</v>
      </c>
      <c r="P97" s="85">
        <f t="shared" si="9"/>
        <v>6.8771642266978877E-3</v>
      </c>
      <c r="Q97" s="86">
        <f t="shared" si="10"/>
        <v>4.4769658971681725E-3</v>
      </c>
    </row>
    <row r="98" spans="1:17" x14ac:dyDescent="0.3">
      <c r="A98" s="66" t="s">
        <v>240</v>
      </c>
      <c r="B98" s="66">
        <v>8193</v>
      </c>
      <c r="C98" s="67" t="s">
        <v>241</v>
      </c>
      <c r="D98" s="71">
        <v>576.23710363609337</v>
      </c>
      <c r="E98" s="72">
        <v>1818.3934945988015</v>
      </c>
      <c r="F98" s="73">
        <f t="shared" si="11"/>
        <v>2394.6305982348949</v>
      </c>
      <c r="G98" s="67" t="s">
        <v>393</v>
      </c>
      <c r="H98" s="84">
        <f t="shared" si="8"/>
        <v>3770.9835868662421</v>
      </c>
      <c r="I98" s="62">
        <f t="shared" si="12"/>
        <v>2033.7563873056088</v>
      </c>
      <c r="J98" s="62">
        <f t="shared" si="12"/>
        <v>360.87421092928639</v>
      </c>
      <c r="K98" s="62">
        <f t="shared" si="12"/>
        <v>1256.8534232469033</v>
      </c>
      <c r="L98" s="62">
        <f t="shared" si="12"/>
        <v>89.587345092899469</v>
      </c>
      <c r="M98" s="62">
        <f t="shared" si="12"/>
        <v>22.278763156923628</v>
      </c>
      <c r="N98" s="62">
        <f t="shared" si="12"/>
        <v>7.633457134620814</v>
      </c>
      <c r="P98" s="85">
        <f t="shared" si="9"/>
        <v>4.8969235782809264E-5</v>
      </c>
      <c r="Q98" s="86">
        <f t="shared" si="10"/>
        <v>3.1878488194150743E-5</v>
      </c>
    </row>
    <row r="99" spans="1:17" x14ac:dyDescent="0.3">
      <c r="A99" s="74" t="s">
        <v>242</v>
      </c>
      <c r="B99" s="74">
        <v>8194</v>
      </c>
      <c r="C99" s="75" t="s">
        <v>243</v>
      </c>
      <c r="D99" s="71">
        <v>2595.0524150307256</v>
      </c>
      <c r="E99" s="72">
        <v>10839.893209474523</v>
      </c>
      <c r="F99" s="73">
        <f t="shared" si="11"/>
        <v>13434.94562450525</v>
      </c>
      <c r="G99" s="67" t="s">
        <v>396</v>
      </c>
      <c r="H99" s="84">
        <f t="shared" si="8"/>
        <v>21156.899722986032</v>
      </c>
      <c r="I99" s="62">
        <f t="shared" si="12"/>
        <v>11410.280356845617</v>
      </c>
      <c r="J99" s="62">
        <f t="shared" si="12"/>
        <v>2024.6652676596332</v>
      </c>
      <c r="K99" s="62">
        <f t="shared" si="12"/>
        <v>7051.5082417062913</v>
      </c>
      <c r="L99" s="62">
        <f t="shared" si="12"/>
        <v>502.62496054885349</v>
      </c>
      <c r="M99" s="62">
        <f t="shared" si="12"/>
        <v>124.99379729597003</v>
      </c>
      <c r="N99" s="62">
        <f t="shared" si="12"/>
        <v>42.827098929670669</v>
      </c>
      <c r="P99" s="85">
        <f t="shared" si="9"/>
        <v>2.7473925226736967E-4</v>
      </c>
      <c r="Q99" s="86">
        <f t="shared" si="10"/>
        <v>1.7885253608449723E-4</v>
      </c>
    </row>
    <row r="100" spans="1:17" x14ac:dyDescent="0.3">
      <c r="A100" s="76" t="s">
        <v>244</v>
      </c>
      <c r="B100" s="76">
        <v>8196</v>
      </c>
      <c r="C100" s="77" t="s">
        <v>245</v>
      </c>
      <c r="D100" s="71">
        <v>5776.2476749220477</v>
      </c>
      <c r="E100" s="72">
        <v>10149.061817045334</v>
      </c>
      <c r="F100" s="73">
        <f t="shared" si="11"/>
        <v>15925.309491967382</v>
      </c>
      <c r="G100" s="67" t="s">
        <v>392</v>
      </c>
      <c r="H100" s="84">
        <f t="shared" si="8"/>
        <v>25078.640836812414</v>
      </c>
      <c r="I100" s="62">
        <f t="shared" si="12"/>
        <v>13525.342874588237</v>
      </c>
      <c r="J100" s="62">
        <f t="shared" si="12"/>
        <v>2399.966617379147</v>
      </c>
      <c r="K100" s="62">
        <f t="shared" si="12"/>
        <v>8358.6085327730416</v>
      </c>
      <c r="L100" s="62">
        <f t="shared" si="12"/>
        <v>595.79385572862384</v>
      </c>
      <c r="M100" s="62">
        <f t="shared" si="12"/>
        <v>148.16322761171295</v>
      </c>
      <c r="N100" s="62">
        <f t="shared" si="12"/>
        <v>50.765728731650647</v>
      </c>
      <c r="P100" s="85">
        <f t="shared" si="9"/>
        <v>3.2566619502865963E-4</v>
      </c>
      <c r="Q100" s="86">
        <f t="shared" si="10"/>
        <v>2.1200547216012813E-4</v>
      </c>
    </row>
    <row r="101" spans="1:17" x14ac:dyDescent="0.3">
      <c r="A101" s="66" t="s">
        <v>246</v>
      </c>
      <c r="B101" s="66">
        <v>8197</v>
      </c>
      <c r="C101" s="67" t="s">
        <v>247</v>
      </c>
      <c r="D101" s="71">
        <v>2120.1282078938857</v>
      </c>
      <c r="E101" s="72">
        <v>3651.631825068222</v>
      </c>
      <c r="F101" s="73">
        <f t="shared" si="11"/>
        <v>5771.7600329621073</v>
      </c>
      <c r="G101" s="67" t="s">
        <v>393</v>
      </c>
      <c r="H101" s="84">
        <f t="shared" si="8"/>
        <v>9089.173239360598</v>
      </c>
      <c r="I101" s="62">
        <f t="shared" ref="I101:N132" si="13">$F101*I$3/SUM($I$3:$J$3)</f>
        <v>4901.9476497478854</v>
      </c>
      <c r="J101" s="62">
        <f t="shared" si="13"/>
        <v>869.81238321422222</v>
      </c>
      <c r="K101" s="62">
        <f t="shared" si="13"/>
        <v>3029.384307097414</v>
      </c>
      <c r="L101" s="62">
        <f t="shared" si="13"/>
        <v>215.93170080075114</v>
      </c>
      <c r="M101" s="62">
        <f t="shared" si="13"/>
        <v>53.698334460331253</v>
      </c>
      <c r="N101" s="62">
        <f t="shared" si="13"/>
        <v>18.398864039994223</v>
      </c>
      <c r="P101" s="85">
        <f t="shared" si="9"/>
        <v>1.1803017891120746E-4</v>
      </c>
      <c r="Q101" s="86">
        <f t="shared" si="10"/>
        <v>7.6836479165462131E-5</v>
      </c>
    </row>
    <row r="102" spans="1:17" x14ac:dyDescent="0.3">
      <c r="A102" s="66" t="s">
        <v>248</v>
      </c>
      <c r="B102" s="66">
        <v>8198</v>
      </c>
      <c r="C102" s="67" t="s">
        <v>249</v>
      </c>
      <c r="D102" s="71">
        <v>1454.4201794350402</v>
      </c>
      <c r="E102" s="72">
        <v>2841.0027630509262</v>
      </c>
      <c r="F102" s="73">
        <f t="shared" si="11"/>
        <v>4295.4229424859659</v>
      </c>
      <c r="G102" s="67" t="s">
        <v>394</v>
      </c>
      <c r="H102" s="84">
        <f t="shared" si="8"/>
        <v>6764.2873296210919</v>
      </c>
      <c r="I102" s="62">
        <f t="shared" si="13"/>
        <v>3648.09664250476</v>
      </c>
      <c r="J102" s="62">
        <f t="shared" si="13"/>
        <v>647.32629998120603</v>
      </c>
      <c r="K102" s="62">
        <f t="shared" si="13"/>
        <v>2254.5093316423076</v>
      </c>
      <c r="L102" s="62">
        <f t="shared" si="13"/>
        <v>160.69933197717387</v>
      </c>
      <c r="M102" s="62">
        <f t="shared" si="13"/>
        <v>39.963036664193538</v>
      </c>
      <c r="N102" s="62">
        <f t="shared" si="13"/>
        <v>13.6926868514511</v>
      </c>
      <c r="P102" s="85">
        <f t="shared" si="9"/>
        <v>8.783967723979217E-5</v>
      </c>
      <c r="Q102" s="86">
        <f t="shared" si="10"/>
        <v>5.7182761158174747E-5</v>
      </c>
    </row>
    <row r="103" spans="1:17" x14ac:dyDescent="0.3">
      <c r="A103" s="66" t="s">
        <v>250</v>
      </c>
      <c r="B103" s="66">
        <v>8200</v>
      </c>
      <c r="C103" s="67" t="s">
        <v>251</v>
      </c>
      <c r="D103" s="71">
        <v>31344.026422680578</v>
      </c>
      <c r="E103" s="72">
        <v>49961.328502340395</v>
      </c>
      <c r="F103" s="73">
        <f t="shared" si="11"/>
        <v>81305.354925020976</v>
      </c>
      <c r="G103" s="67" t="s">
        <v>392</v>
      </c>
      <c r="H103" s="84">
        <f t="shared" si="8"/>
        <v>128036.93361831557</v>
      </c>
      <c r="I103" s="62">
        <f t="shared" si="13"/>
        <v>69052.523183657599</v>
      </c>
      <c r="J103" s="62">
        <f t="shared" si="13"/>
        <v>12252.831741363387</v>
      </c>
      <c r="K103" s="62">
        <f t="shared" si="13"/>
        <v>42674.18688341388</v>
      </c>
      <c r="L103" s="62">
        <f t="shared" si="13"/>
        <v>3041.7764205208027</v>
      </c>
      <c r="M103" s="62">
        <f t="shared" si="13"/>
        <v>756.43514582138221</v>
      </c>
      <c r="N103" s="62">
        <f t="shared" si="13"/>
        <v>259.1802435385062</v>
      </c>
      <c r="P103" s="85">
        <f t="shared" si="9"/>
        <v>1.6626619148118788E-3</v>
      </c>
      <c r="Q103" s="86">
        <f t="shared" si="10"/>
        <v>1.0823764629955975E-3</v>
      </c>
    </row>
    <row r="104" spans="1:17" x14ac:dyDescent="0.3">
      <c r="A104" s="66" t="s">
        <v>252</v>
      </c>
      <c r="B104" s="66">
        <v>8202</v>
      </c>
      <c r="C104" s="67" t="s">
        <v>253</v>
      </c>
      <c r="D104" s="71">
        <v>6486.4419902446107</v>
      </c>
      <c r="E104" s="72">
        <v>14039.856608511902</v>
      </c>
      <c r="F104" s="73">
        <f t="shared" si="11"/>
        <v>20526.298598756512</v>
      </c>
      <c r="G104" s="67" t="s">
        <v>394</v>
      </c>
      <c r="H104" s="84">
        <f t="shared" si="8"/>
        <v>32324.12346692714</v>
      </c>
      <c r="I104" s="62">
        <f t="shared" si="13"/>
        <v>17432.956429160397</v>
      </c>
      <c r="J104" s="62">
        <f t="shared" si="13"/>
        <v>3093.3421695961151</v>
      </c>
      <c r="K104" s="62">
        <f t="shared" si="13"/>
        <v>10773.498292158962</v>
      </c>
      <c r="L104" s="62">
        <f t="shared" si="13"/>
        <v>767.92495569135656</v>
      </c>
      <c r="M104" s="62">
        <f t="shared" si="13"/>
        <v>190.96913958548356</v>
      </c>
      <c r="N104" s="62">
        <f t="shared" si="13"/>
        <v>65.432480734828289</v>
      </c>
      <c r="P104" s="85">
        <f t="shared" si="9"/>
        <v>4.1975457783416191E-4</v>
      </c>
      <c r="Q104" s="86">
        <f t="shared" si="10"/>
        <v>2.7325607884255633E-4</v>
      </c>
    </row>
    <row r="105" spans="1:17" x14ac:dyDescent="0.3">
      <c r="A105" s="66" t="s">
        <v>254</v>
      </c>
      <c r="B105" s="66">
        <v>8203</v>
      </c>
      <c r="C105" s="67" t="s">
        <v>255</v>
      </c>
      <c r="D105" s="71">
        <v>947.88841471538331</v>
      </c>
      <c r="E105" s="72">
        <v>1666.0897768009054</v>
      </c>
      <c r="F105" s="73">
        <f t="shared" si="11"/>
        <v>2613.9781915162885</v>
      </c>
      <c r="G105" s="67" t="s">
        <v>393</v>
      </c>
      <c r="H105" s="84">
        <f t="shared" si="8"/>
        <v>4116.4047865671282</v>
      </c>
      <c r="I105" s="62">
        <f t="shared" si="13"/>
        <v>2220.0479886928838</v>
      </c>
      <c r="J105" s="62">
        <f t="shared" si="13"/>
        <v>393.93020282340495</v>
      </c>
      <c r="K105" s="62">
        <f t="shared" si="13"/>
        <v>1371.9808978978581</v>
      </c>
      <c r="L105" s="62">
        <f t="shared" si="13"/>
        <v>97.793524596778667</v>
      </c>
      <c r="M105" s="62">
        <f t="shared" si="13"/>
        <v>24.319492563521656</v>
      </c>
      <c r="N105" s="62">
        <f t="shared" si="13"/>
        <v>8.3326799926808253</v>
      </c>
      <c r="P105" s="85">
        <f t="shared" si="9"/>
        <v>5.3454806134121831E-5</v>
      </c>
      <c r="Q105" s="86">
        <f t="shared" si="10"/>
        <v>3.4798550131048444E-5</v>
      </c>
    </row>
    <row r="106" spans="1:17" x14ac:dyDescent="0.3">
      <c r="A106" s="66" t="s">
        <v>256</v>
      </c>
      <c r="B106" s="66">
        <v>8204</v>
      </c>
      <c r="C106" s="67" t="s">
        <v>257</v>
      </c>
      <c r="D106" s="71">
        <v>363.20655975389286</v>
      </c>
      <c r="E106" s="72">
        <v>1440.1087180984639</v>
      </c>
      <c r="F106" s="73">
        <f t="shared" si="11"/>
        <v>1803.3152778523568</v>
      </c>
      <c r="G106" s="67" t="s">
        <v>392</v>
      </c>
      <c r="H106" s="84">
        <f t="shared" si="8"/>
        <v>2839.8001427606082</v>
      </c>
      <c r="I106" s="62">
        <f t="shared" si="13"/>
        <v>1531.5531202855971</v>
      </c>
      <c r="J106" s="62">
        <f t="shared" si="13"/>
        <v>271.76215756675998</v>
      </c>
      <c r="K106" s="62">
        <f t="shared" si="13"/>
        <v>946.49378565229893</v>
      </c>
      <c r="L106" s="62">
        <f t="shared" si="13"/>
        <v>67.465198276235228</v>
      </c>
      <c r="M106" s="62">
        <f t="shared" si="13"/>
        <v>16.777382700341516</v>
      </c>
      <c r="N106" s="62">
        <f t="shared" si="13"/>
        <v>5.7484982793753208</v>
      </c>
      <c r="P106" s="85">
        <f t="shared" si="9"/>
        <v>3.6877074525392842E-5</v>
      </c>
      <c r="Q106" s="86">
        <f t="shared" si="10"/>
        <v>2.4006610805742739E-5</v>
      </c>
    </row>
    <row r="107" spans="1:17" x14ac:dyDescent="0.3">
      <c r="A107" s="76" t="s">
        <v>258</v>
      </c>
      <c r="B107" s="76">
        <v>8205</v>
      </c>
      <c r="C107" s="77" t="s">
        <v>259</v>
      </c>
      <c r="D107" s="71">
        <v>53605.432228963298</v>
      </c>
      <c r="E107" s="72">
        <v>96563.887590898448</v>
      </c>
      <c r="F107" s="73">
        <f t="shared" si="11"/>
        <v>150169.31981986173</v>
      </c>
      <c r="G107" s="67" t="s">
        <v>398</v>
      </c>
      <c r="H107" s="84">
        <f t="shared" si="8"/>
        <v>236481.58538898692</v>
      </c>
      <c r="I107" s="62">
        <f t="shared" si="13"/>
        <v>127538.5913744281</v>
      </c>
      <c r="J107" s="62">
        <f t="shared" si="13"/>
        <v>22630.728445433659</v>
      </c>
      <c r="K107" s="62">
        <f t="shared" si="13"/>
        <v>78818.346270767157</v>
      </c>
      <c r="L107" s="62">
        <f t="shared" si="13"/>
        <v>5618.0985438774878</v>
      </c>
      <c r="M107" s="62">
        <f t="shared" si="13"/>
        <v>1397.1201705052465</v>
      </c>
      <c r="N107" s="62">
        <f t="shared" si="13"/>
        <v>478.70058397526333</v>
      </c>
      <c r="P107" s="85">
        <f t="shared" si="9"/>
        <v>3.0709023909672615E-3</v>
      </c>
      <c r="Q107" s="86">
        <f t="shared" si="10"/>
        <v>1.9991270856263921E-3</v>
      </c>
    </row>
    <row r="108" spans="1:17" x14ac:dyDescent="0.3">
      <c r="A108" s="66" t="s">
        <v>260</v>
      </c>
      <c r="B108" s="66">
        <v>8206</v>
      </c>
      <c r="C108" s="67" t="s">
        <v>261</v>
      </c>
      <c r="D108" s="71">
        <v>21.081673564504808</v>
      </c>
      <c r="E108" s="72">
        <v>460.29093081419728</v>
      </c>
      <c r="F108" s="73">
        <f t="shared" si="11"/>
        <v>481.37260437870208</v>
      </c>
      <c r="G108" s="67" t="s">
        <v>395</v>
      </c>
      <c r="H108" s="84">
        <f t="shared" si="8"/>
        <v>758.04935910247673</v>
      </c>
      <c r="I108" s="62">
        <f t="shared" si="13"/>
        <v>408.82907349081211</v>
      </c>
      <c r="J108" s="62">
        <f t="shared" si="13"/>
        <v>72.543530887890029</v>
      </c>
      <c r="K108" s="62">
        <f t="shared" si="13"/>
        <v>252.65475439786459</v>
      </c>
      <c r="L108" s="62">
        <f t="shared" si="13"/>
        <v>18.008996318066895</v>
      </c>
      <c r="M108" s="62">
        <f t="shared" si="13"/>
        <v>4.4785138263453454</v>
      </c>
      <c r="N108" s="62">
        <f t="shared" si="13"/>
        <v>1.5344901814977818</v>
      </c>
      <c r="P108" s="85">
        <f t="shared" si="9"/>
        <v>9.8438767885873928E-6</v>
      </c>
      <c r="Q108" s="86">
        <f t="shared" si="10"/>
        <v>6.4082664344911132E-6</v>
      </c>
    </row>
    <row r="109" spans="1:17" x14ac:dyDescent="0.3">
      <c r="A109" s="66" t="s">
        <v>262</v>
      </c>
      <c r="B109" s="66">
        <v>8207</v>
      </c>
      <c r="C109" s="67" t="s">
        <v>263</v>
      </c>
      <c r="D109" s="71">
        <v>527.60325822797256</v>
      </c>
      <c r="E109" s="72">
        <v>1342.1344363554551</v>
      </c>
      <c r="F109" s="73">
        <f t="shared" si="11"/>
        <v>1869.7376945834276</v>
      </c>
      <c r="G109" s="67" t="s">
        <v>394</v>
      </c>
      <c r="H109" s="84">
        <f t="shared" si="8"/>
        <v>2944.3999267429413</v>
      </c>
      <c r="I109" s="62">
        <f t="shared" si="13"/>
        <v>1587.9655850668721</v>
      </c>
      <c r="J109" s="62">
        <f t="shared" si="13"/>
        <v>281.77210951655547</v>
      </c>
      <c r="K109" s="62">
        <f t="shared" si="13"/>
        <v>981.35646631390705</v>
      </c>
      <c r="L109" s="62">
        <f t="shared" si="13"/>
        <v>69.950177785800108</v>
      </c>
      <c r="M109" s="62">
        <f t="shared" si="13"/>
        <v>17.39535245807901</v>
      </c>
      <c r="N109" s="62">
        <f t="shared" si="13"/>
        <v>5.9602356017282085</v>
      </c>
      <c r="P109" s="85">
        <f t="shared" si="9"/>
        <v>3.8235386320358362E-5</v>
      </c>
      <c r="Q109" s="86">
        <f t="shared" si="10"/>
        <v>2.4890858350708206E-5</v>
      </c>
    </row>
    <row r="110" spans="1:17" x14ac:dyDescent="0.3">
      <c r="A110" s="66" t="s">
        <v>264</v>
      </c>
      <c r="B110" s="66">
        <v>8208</v>
      </c>
      <c r="C110" s="67" t="s">
        <v>265</v>
      </c>
      <c r="D110" s="71">
        <v>1649.9712480791115</v>
      </c>
      <c r="E110" s="72">
        <v>4405.3956410063893</v>
      </c>
      <c r="F110" s="73">
        <f t="shared" si="11"/>
        <v>6055.3668890855006</v>
      </c>
      <c r="G110" s="67" t="s">
        <v>392</v>
      </c>
      <c r="H110" s="84">
        <f t="shared" si="8"/>
        <v>9535.7877611796921</v>
      </c>
      <c r="I110" s="62">
        <f t="shared" si="13"/>
        <v>5142.8145523715175</v>
      </c>
      <c r="J110" s="62">
        <f t="shared" si="13"/>
        <v>912.55233671398366</v>
      </c>
      <c r="K110" s="62">
        <f t="shared" si="13"/>
        <v>3178.2391025876764</v>
      </c>
      <c r="L110" s="62">
        <f t="shared" si="13"/>
        <v>226.54193242017797</v>
      </c>
      <c r="M110" s="62">
        <f t="shared" si="13"/>
        <v>56.336908435753664</v>
      </c>
      <c r="N110" s="62">
        <f t="shared" si="13"/>
        <v>19.302928650585212</v>
      </c>
      <c r="P110" s="85">
        <f t="shared" si="9"/>
        <v>1.2382982542761157E-4</v>
      </c>
      <c r="Q110" s="86">
        <f t="shared" si="10"/>
        <v>8.061199168976296E-5</v>
      </c>
    </row>
    <row r="111" spans="1:17" x14ac:dyDescent="0.3">
      <c r="A111" s="76" t="s">
        <v>266</v>
      </c>
      <c r="B111" s="76">
        <v>8209</v>
      </c>
      <c r="C111" s="77" t="s">
        <v>267</v>
      </c>
      <c r="D111" s="71">
        <v>1063.4208509118578</v>
      </c>
      <c r="E111" s="72">
        <v>3233.9059479402495</v>
      </c>
      <c r="F111" s="73">
        <f t="shared" si="11"/>
        <v>4297.3267988521075</v>
      </c>
      <c r="G111" s="67" t="s">
        <v>394</v>
      </c>
      <c r="H111" s="84">
        <f t="shared" si="8"/>
        <v>6767.285458482289</v>
      </c>
      <c r="I111" s="62">
        <f t="shared" si="13"/>
        <v>3649.7135850294267</v>
      </c>
      <c r="J111" s="62">
        <f t="shared" si="13"/>
        <v>647.61321382268147</v>
      </c>
      <c r="K111" s="62">
        <f t="shared" si="13"/>
        <v>2255.5085957429665</v>
      </c>
      <c r="L111" s="62">
        <f t="shared" si="13"/>
        <v>160.77055859450959</v>
      </c>
      <c r="M111" s="62">
        <f t="shared" si="13"/>
        <v>39.980749444234583</v>
      </c>
      <c r="N111" s="62">
        <f t="shared" si="13"/>
        <v>13.698755848469734</v>
      </c>
      <c r="P111" s="85">
        <f t="shared" si="9"/>
        <v>8.7878610339268534E-5</v>
      </c>
      <c r="Q111" s="86">
        <f t="shared" si="10"/>
        <v>5.7208106220889701E-5</v>
      </c>
    </row>
    <row r="112" spans="1:17" x14ac:dyDescent="0.3">
      <c r="A112" s="66" t="s">
        <v>268</v>
      </c>
      <c r="B112" s="66">
        <v>8210</v>
      </c>
      <c r="C112" s="67" t="s">
        <v>269</v>
      </c>
      <c r="D112" s="71">
        <v>1193.1356202981308</v>
      </c>
      <c r="E112" s="72">
        <v>1720.248356796176</v>
      </c>
      <c r="F112" s="73">
        <f t="shared" si="11"/>
        <v>2913.3839770943068</v>
      </c>
      <c r="G112" s="67" t="s">
        <v>394</v>
      </c>
      <c r="H112" s="84">
        <f t="shared" si="8"/>
        <v>4587.898930198191</v>
      </c>
      <c r="I112" s="62">
        <f t="shared" si="13"/>
        <v>2474.3328998037614</v>
      </c>
      <c r="J112" s="62">
        <f t="shared" si="13"/>
        <v>439.05107729054561</v>
      </c>
      <c r="K112" s="62">
        <f t="shared" si="13"/>
        <v>1529.1279696929994</v>
      </c>
      <c r="L112" s="62">
        <f t="shared" si="13"/>
        <v>108.99482197231545</v>
      </c>
      <c r="M112" s="62">
        <f t="shared" si="13"/>
        <v>27.105053973127859</v>
      </c>
      <c r="N112" s="62">
        <f t="shared" si="13"/>
        <v>9.2871074654408989</v>
      </c>
      <c r="P112" s="85">
        <f t="shared" si="9"/>
        <v>5.9577534424453742E-5</v>
      </c>
      <c r="Q112" s="86">
        <f t="shared" si="10"/>
        <v>3.8784385694932366E-5</v>
      </c>
    </row>
    <row r="113" spans="1:17" x14ac:dyDescent="0.3">
      <c r="A113" s="74" t="s">
        <v>270</v>
      </c>
      <c r="B113" s="74">
        <v>8211</v>
      </c>
      <c r="C113" s="75" t="s">
        <v>271</v>
      </c>
      <c r="D113" s="71">
        <v>8399.2406095357928</v>
      </c>
      <c r="E113" s="72">
        <v>16341.604623456131</v>
      </c>
      <c r="F113" s="73">
        <f t="shared" si="11"/>
        <v>24740.845232991924</v>
      </c>
      <c r="G113" s="67" t="s">
        <v>392</v>
      </c>
      <c r="H113" s="84">
        <f t="shared" si="8"/>
        <v>38961.049511177553</v>
      </c>
      <c r="I113" s="62">
        <f t="shared" si="13"/>
        <v>21012.364937216571</v>
      </c>
      <c r="J113" s="62">
        <f t="shared" si="13"/>
        <v>3728.4802957753559</v>
      </c>
      <c r="K113" s="62">
        <f t="shared" si="13"/>
        <v>12985.558627718448</v>
      </c>
      <c r="L113" s="62">
        <f t="shared" si="13"/>
        <v>925.59856263919903</v>
      </c>
      <c r="M113" s="62">
        <f t="shared" si="13"/>
        <v>230.17973279645781</v>
      </c>
      <c r="N113" s="62">
        <f t="shared" si="13"/>
        <v>78.86735503151958</v>
      </c>
      <c r="P113" s="85">
        <f t="shared" si="9"/>
        <v>5.0594036699164039E-4</v>
      </c>
      <c r="Q113" s="86">
        <f t="shared" si="10"/>
        <v>3.2936217521591955E-4</v>
      </c>
    </row>
    <row r="114" spans="1:17" x14ac:dyDescent="0.3">
      <c r="A114" s="66" t="s">
        <v>272</v>
      </c>
      <c r="B114" s="66">
        <v>8214</v>
      </c>
      <c r="C114" s="67" t="s">
        <v>273</v>
      </c>
      <c r="D114" s="71">
        <v>755.32979664047116</v>
      </c>
      <c r="E114" s="72">
        <v>2114.0819217734052</v>
      </c>
      <c r="F114" s="73">
        <f t="shared" si="11"/>
        <v>2869.4117184138763</v>
      </c>
      <c r="G114" s="67" t="s">
        <v>393</v>
      </c>
      <c r="H114" s="84">
        <f t="shared" si="8"/>
        <v>4518.6528987294669</v>
      </c>
      <c r="I114" s="62">
        <f t="shared" si="13"/>
        <v>2436.9873225688016</v>
      </c>
      <c r="J114" s="62">
        <f t="shared" si="13"/>
        <v>432.4243958450752</v>
      </c>
      <c r="K114" s="62">
        <f t="shared" si="13"/>
        <v>1506.0485503073389</v>
      </c>
      <c r="L114" s="62">
        <f t="shared" si="13"/>
        <v>107.34974238641951</v>
      </c>
      <c r="M114" s="62">
        <f t="shared" si="13"/>
        <v>26.695952236376311</v>
      </c>
      <c r="N114" s="62">
        <f t="shared" si="13"/>
        <v>9.1469353854562279</v>
      </c>
      <c r="P114" s="85">
        <f t="shared" si="9"/>
        <v>5.867831936188337E-5</v>
      </c>
      <c r="Q114" s="86">
        <f t="shared" si="10"/>
        <v>3.8199005582339012E-5</v>
      </c>
    </row>
    <row r="115" spans="1:17" x14ac:dyDescent="0.3">
      <c r="A115" s="74" t="s">
        <v>274</v>
      </c>
      <c r="B115" s="74">
        <v>8217</v>
      </c>
      <c r="C115" s="75" t="s">
        <v>275</v>
      </c>
      <c r="D115" s="71">
        <v>8459.274834072512</v>
      </c>
      <c r="E115" s="72">
        <v>21678.27337946244</v>
      </c>
      <c r="F115" s="73">
        <f t="shared" si="11"/>
        <v>30137.548213534952</v>
      </c>
      <c r="G115" s="67" t="s">
        <v>392</v>
      </c>
      <c r="H115" s="84">
        <f t="shared" si="8"/>
        <v>47459.595540707414</v>
      </c>
      <c r="I115" s="62">
        <f t="shared" si="13"/>
        <v>25595.777161699461</v>
      </c>
      <c r="J115" s="62">
        <f t="shared" si="13"/>
        <v>4541.7710518354916</v>
      </c>
      <c r="K115" s="62">
        <f t="shared" si="13"/>
        <v>15818.08929877142</v>
      </c>
      <c r="L115" s="62">
        <f t="shared" si="13"/>
        <v>1127.4987190299853</v>
      </c>
      <c r="M115" s="62">
        <f t="shared" si="13"/>
        <v>280.38867425924792</v>
      </c>
      <c r="N115" s="62">
        <f t="shared" si="13"/>
        <v>96.070635111804691</v>
      </c>
      <c r="P115" s="85">
        <f t="shared" si="9"/>
        <v>6.1630077953243011E-4</v>
      </c>
      <c r="Q115" s="86">
        <f t="shared" si="10"/>
        <v>4.0120571232740156E-4</v>
      </c>
    </row>
    <row r="116" spans="1:17" x14ac:dyDescent="0.3">
      <c r="A116" s="66" t="s">
        <v>276</v>
      </c>
      <c r="B116" s="66">
        <v>8219</v>
      </c>
      <c r="C116" s="67" t="s">
        <v>277</v>
      </c>
      <c r="D116" s="71">
        <v>1805.502132860544</v>
      </c>
      <c r="E116" s="72">
        <v>5703.5381349495738</v>
      </c>
      <c r="F116" s="73">
        <f t="shared" si="11"/>
        <v>7509.0402678101182</v>
      </c>
      <c r="G116" s="67" t="s">
        <v>393</v>
      </c>
      <c r="H116" s="84">
        <f t="shared" si="8"/>
        <v>11824.98362123243</v>
      </c>
      <c r="I116" s="62">
        <f t="shared" si="13"/>
        <v>6377.4173012115762</v>
      </c>
      <c r="J116" s="62">
        <f t="shared" si="13"/>
        <v>1131.6229665985425</v>
      </c>
      <c r="K116" s="62">
        <f t="shared" si="13"/>
        <v>3941.2187302929547</v>
      </c>
      <c r="L116" s="62">
        <f t="shared" si="13"/>
        <v>280.92641190029389</v>
      </c>
      <c r="M116" s="62">
        <f t="shared" si="13"/>
        <v>69.861351385744683</v>
      </c>
      <c r="N116" s="62">
        <f t="shared" si="13"/>
        <v>23.936859843318299</v>
      </c>
      <c r="P116" s="85">
        <f t="shared" si="9"/>
        <v>1.5355686327905727E-4</v>
      </c>
      <c r="Q116" s="86">
        <f t="shared" si="10"/>
        <v>9.9963999333857315E-5</v>
      </c>
    </row>
    <row r="117" spans="1:17" x14ac:dyDescent="0.3">
      <c r="A117" s="74" t="s">
        <v>278</v>
      </c>
      <c r="B117" s="74">
        <v>8221</v>
      </c>
      <c r="C117" s="75" t="s">
        <v>279</v>
      </c>
      <c r="D117" s="71">
        <v>2449.6437768202759</v>
      </c>
      <c r="E117" s="72">
        <v>9584.9571454623583</v>
      </c>
      <c r="F117" s="73">
        <f t="shared" si="11"/>
        <v>12034.600922282634</v>
      </c>
      <c r="G117" s="67" t="s">
        <v>392</v>
      </c>
      <c r="H117" s="84">
        <f t="shared" si="8"/>
        <v>18951.684065953581</v>
      </c>
      <c r="I117" s="62">
        <f t="shared" si="13"/>
        <v>10220.969577690756</v>
      </c>
      <c r="J117" s="62">
        <f t="shared" si="13"/>
        <v>1813.6313445918788</v>
      </c>
      <c r="K117" s="62">
        <f t="shared" si="13"/>
        <v>6316.5188725687321</v>
      </c>
      <c r="L117" s="62">
        <f t="shared" si="13"/>
        <v>450.23560071209886</v>
      </c>
      <c r="M117" s="62">
        <f t="shared" si="13"/>
        <v>111.9655047560406</v>
      </c>
      <c r="N117" s="62">
        <f t="shared" si="13"/>
        <v>38.363165634076346</v>
      </c>
      <c r="P117" s="85">
        <f t="shared" si="9"/>
        <v>2.4610276447217761E-4</v>
      </c>
      <c r="Q117" s="86">
        <f t="shared" si="10"/>
        <v>1.602104657416016E-4</v>
      </c>
    </row>
    <row r="118" spans="1:17" x14ac:dyDescent="0.3">
      <c r="A118" s="66" t="s">
        <v>280</v>
      </c>
      <c r="B118" s="66">
        <v>8222</v>
      </c>
      <c r="C118" s="67" t="s">
        <v>281</v>
      </c>
      <c r="D118" s="71">
        <v>190.53724571885135</v>
      </c>
      <c r="E118" s="72">
        <v>1075.1891234455104</v>
      </c>
      <c r="F118" s="73">
        <f t="shared" si="11"/>
        <v>1265.7263691643618</v>
      </c>
      <c r="G118" s="67" t="s">
        <v>395</v>
      </c>
      <c r="H118" s="84">
        <f t="shared" si="8"/>
        <v>1993.2232416560864</v>
      </c>
      <c r="I118" s="62">
        <f t="shared" si="13"/>
        <v>1074.9796188884454</v>
      </c>
      <c r="J118" s="62">
        <f t="shared" si="13"/>
        <v>190.74675027591638</v>
      </c>
      <c r="K118" s="62">
        <f t="shared" si="13"/>
        <v>664.33316318212906</v>
      </c>
      <c r="L118" s="62">
        <f t="shared" si="13"/>
        <v>47.353051076476454</v>
      </c>
      <c r="M118" s="62">
        <f t="shared" si="13"/>
        <v>11.775853035900951</v>
      </c>
      <c r="N118" s="62">
        <f t="shared" si="13"/>
        <v>4.0348051972179979</v>
      </c>
      <c r="P118" s="85">
        <f t="shared" si="9"/>
        <v>2.5883596849474814E-5</v>
      </c>
      <c r="Q118" s="86">
        <f t="shared" si="10"/>
        <v>1.6849965563028113E-5</v>
      </c>
    </row>
    <row r="119" spans="1:17" x14ac:dyDescent="0.3">
      <c r="A119" s="66" t="s">
        <v>282</v>
      </c>
      <c r="B119" s="66">
        <v>8223</v>
      </c>
      <c r="C119" s="67" t="s">
        <v>283</v>
      </c>
      <c r="D119" s="71">
        <v>311.49769770676664</v>
      </c>
      <c r="E119" s="72">
        <v>796.24861249126889</v>
      </c>
      <c r="F119" s="73">
        <f t="shared" si="11"/>
        <v>1107.7463101980356</v>
      </c>
      <c r="G119" s="67" t="s">
        <v>398</v>
      </c>
      <c r="H119" s="84">
        <f t="shared" si="8"/>
        <v>1744.4415674165177</v>
      </c>
      <c r="I119" s="62">
        <f t="shared" si="13"/>
        <v>940.80737778098182</v>
      </c>
      <c r="J119" s="62">
        <f t="shared" si="13"/>
        <v>166.93893241705396</v>
      </c>
      <c r="K119" s="62">
        <f t="shared" si="13"/>
        <v>581.4152475491569</v>
      </c>
      <c r="L119" s="62">
        <f t="shared" si="13"/>
        <v>41.442739034675441</v>
      </c>
      <c r="M119" s="62">
        <f t="shared" si="13"/>
        <v>10.30606461850499</v>
      </c>
      <c r="N119" s="62">
        <f t="shared" si="13"/>
        <v>3.5312060161446306</v>
      </c>
      <c r="P119" s="85">
        <f t="shared" si="9"/>
        <v>2.2652967974104001E-5</v>
      </c>
      <c r="Q119" s="86">
        <f t="shared" si="10"/>
        <v>1.4746858115732708E-5</v>
      </c>
    </row>
    <row r="120" spans="1:17" x14ac:dyDescent="0.3">
      <c r="A120" s="66" t="s">
        <v>284</v>
      </c>
      <c r="B120" s="66">
        <v>8227</v>
      </c>
      <c r="C120" s="67" t="s">
        <v>285</v>
      </c>
      <c r="D120" s="71">
        <v>639.27660375278583</v>
      </c>
      <c r="E120" s="72">
        <v>2474.1252004014918</v>
      </c>
      <c r="F120" s="73">
        <f t="shared" si="11"/>
        <v>3113.4018041542777</v>
      </c>
      <c r="G120" s="67" t="s">
        <v>395</v>
      </c>
      <c r="H120" s="84">
        <f t="shared" si="8"/>
        <v>4902.8802653067351</v>
      </c>
      <c r="I120" s="62">
        <f t="shared" si="13"/>
        <v>2644.207758021163</v>
      </c>
      <c r="J120" s="62">
        <f t="shared" si="13"/>
        <v>469.19404613311485</v>
      </c>
      <c r="K120" s="62">
        <f t="shared" si="13"/>
        <v>1634.1099618366043</v>
      </c>
      <c r="L120" s="62">
        <f t="shared" si="13"/>
        <v>116.47784090256791</v>
      </c>
      <c r="M120" s="62">
        <f t="shared" si="13"/>
        <v>28.965946337702285</v>
      </c>
      <c r="N120" s="62">
        <f t="shared" si="13"/>
        <v>9.9247120755831588</v>
      </c>
      <c r="P120" s="85">
        <f t="shared" si="9"/>
        <v>6.3667818805386922E-5</v>
      </c>
      <c r="Q120" s="86">
        <f t="shared" si="10"/>
        <v>4.1447120374448688E-5</v>
      </c>
    </row>
    <row r="121" spans="1:17" x14ac:dyDescent="0.3">
      <c r="A121" s="66" t="s">
        <v>286</v>
      </c>
      <c r="B121" s="66">
        <v>8230</v>
      </c>
      <c r="C121" s="67" t="s">
        <v>287</v>
      </c>
      <c r="D121" s="71">
        <v>1070.9457932819903</v>
      </c>
      <c r="E121" s="72">
        <v>2614.3867997092316</v>
      </c>
      <c r="F121" s="73">
        <f t="shared" si="11"/>
        <v>3685.3325929912216</v>
      </c>
      <c r="G121" s="67" t="s">
        <v>393</v>
      </c>
      <c r="H121" s="84">
        <f t="shared" si="8"/>
        <v>5803.5376022326618</v>
      </c>
      <c r="I121" s="62">
        <f t="shared" si="13"/>
        <v>3129.9477697587781</v>
      </c>
      <c r="J121" s="62">
        <f t="shared" si="13"/>
        <v>555.38482323244375</v>
      </c>
      <c r="K121" s="62">
        <f t="shared" si="13"/>
        <v>1934.2953726218309</v>
      </c>
      <c r="L121" s="62">
        <f t="shared" si="13"/>
        <v>137.8747782784443</v>
      </c>
      <c r="M121" s="62">
        <f t="shared" si="13"/>
        <v>34.28698023580872</v>
      </c>
      <c r="N121" s="62">
        <f t="shared" si="13"/>
        <v>11.747878105356085</v>
      </c>
      <c r="P121" s="85">
        <f t="shared" si="9"/>
        <v>7.5363574163498799E-5</v>
      </c>
      <c r="Q121" s="86">
        <f t="shared" si="10"/>
        <v>4.9060941442821E-5</v>
      </c>
    </row>
    <row r="122" spans="1:17" x14ac:dyDescent="0.3">
      <c r="A122" s="66" t="s">
        <v>288</v>
      </c>
      <c r="B122" s="66">
        <v>8231</v>
      </c>
      <c r="C122" s="67" t="s">
        <v>289</v>
      </c>
      <c r="D122" s="71">
        <v>8251.7950445667084</v>
      </c>
      <c r="E122" s="72">
        <v>15629.572724848595</v>
      </c>
      <c r="F122" s="73">
        <f t="shared" si="11"/>
        <v>23881.367769415301</v>
      </c>
      <c r="G122" s="67" t="s">
        <v>397</v>
      </c>
      <c r="H122" s="84">
        <f t="shared" si="8"/>
        <v>37607.573358814887</v>
      </c>
      <c r="I122" s="62">
        <f t="shared" si="13"/>
        <v>20282.411940465161</v>
      </c>
      <c r="J122" s="62">
        <f t="shared" si="13"/>
        <v>3598.9558289501415</v>
      </c>
      <c r="K122" s="62">
        <f t="shared" si="13"/>
        <v>12534.450555727679</v>
      </c>
      <c r="L122" s="62">
        <f t="shared" si="13"/>
        <v>893.44399809560514</v>
      </c>
      <c r="M122" s="62">
        <f t="shared" si="13"/>
        <v>222.18347029824565</v>
      </c>
      <c r="N122" s="62">
        <f t="shared" si="13"/>
        <v>76.127565278051634</v>
      </c>
      <c r="P122" s="85">
        <f t="shared" si="9"/>
        <v>4.8836439740580209E-4</v>
      </c>
      <c r="Q122" s="86">
        <f t="shared" si="10"/>
        <v>3.1792039283998148E-4</v>
      </c>
    </row>
    <row r="123" spans="1:17" x14ac:dyDescent="0.3">
      <c r="A123" s="66" t="s">
        <v>290</v>
      </c>
      <c r="B123" s="66">
        <v>8232</v>
      </c>
      <c r="C123" s="67" t="s">
        <v>291</v>
      </c>
      <c r="D123" s="71">
        <v>168.73147056315659</v>
      </c>
      <c r="E123" s="72">
        <v>484.83406769667829</v>
      </c>
      <c r="F123" s="73">
        <f t="shared" si="11"/>
        <v>653.56553825983485</v>
      </c>
      <c r="G123" s="67" t="s">
        <v>395</v>
      </c>
      <c r="H123" s="84">
        <f t="shared" si="8"/>
        <v>1029.212989901619</v>
      </c>
      <c r="I123" s="62">
        <f t="shared" si="13"/>
        <v>555.07228920340708</v>
      </c>
      <c r="J123" s="62">
        <f t="shared" si="13"/>
        <v>98.493249056427828</v>
      </c>
      <c r="K123" s="62">
        <f t="shared" si="13"/>
        <v>343.0324847112397</v>
      </c>
      <c r="L123" s="62">
        <f t="shared" si="13"/>
        <v>24.451037024278012</v>
      </c>
      <c r="M123" s="62">
        <f t="shared" si="13"/>
        <v>6.0805336092969622</v>
      </c>
      <c r="N123" s="62">
        <f t="shared" si="13"/>
        <v>2.0833962969692457</v>
      </c>
      <c r="P123" s="85">
        <f t="shared" si="9"/>
        <v>1.3365153258358683E-5</v>
      </c>
      <c r="Q123" s="86">
        <f t="shared" si="10"/>
        <v>8.7005825912678829E-6</v>
      </c>
    </row>
    <row r="124" spans="1:17" x14ac:dyDescent="0.3">
      <c r="A124" s="66" t="s">
        <v>292</v>
      </c>
      <c r="B124" s="66">
        <v>8234</v>
      </c>
      <c r="C124" s="67" t="s">
        <v>293</v>
      </c>
      <c r="D124" s="71">
        <v>904.59394538200411</v>
      </c>
      <c r="E124" s="72">
        <v>1909.2123157419824</v>
      </c>
      <c r="F124" s="73">
        <f t="shared" si="11"/>
        <v>2813.8062611239866</v>
      </c>
      <c r="G124" s="67" t="s">
        <v>394</v>
      </c>
      <c r="H124" s="84">
        <f t="shared" si="8"/>
        <v>4431.0872980330896</v>
      </c>
      <c r="I124" s="62">
        <f t="shared" si="13"/>
        <v>2389.7616861738934</v>
      </c>
      <c r="J124" s="62">
        <f t="shared" si="13"/>
        <v>424.04457495009359</v>
      </c>
      <c r="K124" s="62">
        <f t="shared" si="13"/>
        <v>1476.8632933422264</v>
      </c>
      <c r="L124" s="62">
        <f t="shared" si="13"/>
        <v>105.26944436677933</v>
      </c>
      <c r="M124" s="62">
        <f t="shared" si="13"/>
        <v>26.178619494488256</v>
      </c>
      <c r="N124" s="62">
        <f t="shared" si="13"/>
        <v>8.9696797056088897</v>
      </c>
      <c r="P124" s="85">
        <f t="shared" si="9"/>
        <v>5.7541210051225339E-5</v>
      </c>
      <c r="Q124" s="86">
        <f t="shared" si="10"/>
        <v>3.7458758666989013E-5</v>
      </c>
    </row>
    <row r="125" spans="1:17" x14ac:dyDescent="0.3">
      <c r="A125" s="66" t="s">
        <v>294</v>
      </c>
      <c r="B125" s="66">
        <v>8235</v>
      </c>
      <c r="C125" s="67" t="s">
        <v>295</v>
      </c>
      <c r="D125" s="71">
        <v>325.89384076822523</v>
      </c>
      <c r="E125" s="72">
        <v>1049.516624770816</v>
      </c>
      <c r="F125" s="73">
        <f t="shared" si="11"/>
        <v>1375.4104655390411</v>
      </c>
      <c r="G125" s="67" t="s">
        <v>393</v>
      </c>
      <c r="H125" s="84">
        <f t="shared" si="8"/>
        <v>2165.9500611805888</v>
      </c>
      <c r="I125" s="62">
        <f t="shared" si="13"/>
        <v>1168.1341671316172</v>
      </c>
      <c r="J125" s="62">
        <f t="shared" si="13"/>
        <v>207.27629840742384</v>
      </c>
      <c r="K125" s="62">
        <f t="shared" si="13"/>
        <v>721.90230645870554</v>
      </c>
      <c r="L125" s="62">
        <f t="shared" si="13"/>
        <v>51.456526159591284</v>
      </c>
      <c r="M125" s="62">
        <f t="shared" si="13"/>
        <v>12.796313564140206</v>
      </c>
      <c r="N125" s="62">
        <f t="shared" si="13"/>
        <v>4.3844494591107885</v>
      </c>
      <c r="P125" s="85">
        <f t="shared" si="9"/>
        <v>2.8126592650562114E-5</v>
      </c>
      <c r="Q125" s="86">
        <f t="shared" si="10"/>
        <v>1.8310133646549495E-5</v>
      </c>
    </row>
    <row r="126" spans="1:17" x14ac:dyDescent="0.3">
      <c r="A126" s="66" t="s">
        <v>296</v>
      </c>
      <c r="B126" s="66">
        <v>8236</v>
      </c>
      <c r="C126" s="67" t="s">
        <v>297</v>
      </c>
      <c r="D126" s="71">
        <v>92.388617940134367</v>
      </c>
      <c r="E126" s="72">
        <v>386.66483280349189</v>
      </c>
      <c r="F126" s="73">
        <f t="shared" si="11"/>
        <v>479.05345074362629</v>
      </c>
      <c r="G126" s="67" t="s">
        <v>395</v>
      </c>
      <c r="H126" s="84">
        <f t="shared" ref="H126:H167" si="14">SUM(I126:N126)</f>
        <v>754.39723409424425</v>
      </c>
      <c r="I126" s="62">
        <f t="shared" si="13"/>
        <v>406.8594195817895</v>
      </c>
      <c r="J126" s="62">
        <f t="shared" si="13"/>
        <v>72.194031161836804</v>
      </c>
      <c r="K126" s="62">
        <f t="shared" si="13"/>
        <v>251.43751605328274</v>
      </c>
      <c r="L126" s="62">
        <f t="shared" si="13"/>
        <v>17.922232699000919</v>
      </c>
      <c r="M126" s="62">
        <f t="shared" si="13"/>
        <v>4.4569372731189487</v>
      </c>
      <c r="N126" s="62">
        <f t="shared" si="13"/>
        <v>1.5270973252154809</v>
      </c>
      <c r="P126" s="85">
        <f t="shared" ref="P126:P167" si="15">H126/$P$3</f>
        <v>9.7964510264442461E-6</v>
      </c>
      <c r="Q126" s="86">
        <f t="shared" ref="Q126:Q167" si="16">I126/$Q$3</f>
        <v>6.3773927323715955E-6</v>
      </c>
    </row>
    <row r="127" spans="1:17" x14ac:dyDescent="0.3">
      <c r="A127" s="76" t="s">
        <v>298</v>
      </c>
      <c r="B127" s="76">
        <v>8238</v>
      </c>
      <c r="C127" s="77" t="s">
        <v>299</v>
      </c>
      <c r="D127" s="71">
        <v>2829.5352962511856</v>
      </c>
      <c r="E127" s="72">
        <v>8166.4402185829586</v>
      </c>
      <c r="F127" s="73">
        <f t="shared" si="11"/>
        <v>10995.975514834145</v>
      </c>
      <c r="G127" s="67" t="s">
        <v>398</v>
      </c>
      <c r="H127" s="84">
        <f t="shared" si="14"/>
        <v>17316.091767384649</v>
      </c>
      <c r="I127" s="62">
        <f t="shared" si="13"/>
        <v>9338.8664850579044</v>
      </c>
      <c r="J127" s="62">
        <f t="shared" si="13"/>
        <v>1657.109029776241</v>
      </c>
      <c r="K127" s="62">
        <f t="shared" si="13"/>
        <v>5771.3826416256106</v>
      </c>
      <c r="L127" s="62">
        <f t="shared" si="13"/>
        <v>411.37879629812051</v>
      </c>
      <c r="M127" s="62">
        <f t="shared" si="13"/>
        <v>102.30251561760548</v>
      </c>
      <c r="N127" s="62">
        <f t="shared" si="13"/>
        <v>35.052299009165537</v>
      </c>
      <c r="P127" s="85">
        <f t="shared" si="15"/>
        <v>2.2486329125035741E-4</v>
      </c>
      <c r="Q127" s="86">
        <f t="shared" si="16"/>
        <v>1.4638377873029505E-4</v>
      </c>
    </row>
    <row r="128" spans="1:17" x14ac:dyDescent="0.3">
      <c r="A128" s="66" t="s">
        <v>300</v>
      </c>
      <c r="B128" s="66">
        <v>8239</v>
      </c>
      <c r="C128" s="67" t="s">
        <v>301</v>
      </c>
      <c r="D128" s="71">
        <v>66.793332175738982</v>
      </c>
      <c r="E128" s="72">
        <v>291.51685264627287</v>
      </c>
      <c r="F128" s="73">
        <f t="shared" si="11"/>
        <v>358.31018482201182</v>
      </c>
      <c r="G128" s="67" t="s">
        <v>394</v>
      </c>
      <c r="H128" s="84">
        <f t="shared" si="14"/>
        <v>564.25480696972022</v>
      </c>
      <c r="I128" s="62">
        <f t="shared" si="13"/>
        <v>304.31233425128823</v>
      </c>
      <c r="J128" s="62">
        <f t="shared" si="13"/>
        <v>53.9978505707236</v>
      </c>
      <c r="K128" s="62">
        <f t="shared" si="13"/>
        <v>188.06382191463209</v>
      </c>
      <c r="L128" s="62">
        <f t="shared" si="13"/>
        <v>13.40501461962919</v>
      </c>
      <c r="M128" s="62">
        <f t="shared" si="13"/>
        <v>3.3335862952086481</v>
      </c>
      <c r="N128" s="62">
        <f t="shared" si="13"/>
        <v>1.1421993182384751</v>
      </c>
      <c r="P128" s="85">
        <f t="shared" si="15"/>
        <v>7.327299641483123E-6</v>
      </c>
      <c r="Q128" s="86">
        <f t="shared" si="16"/>
        <v>4.7699996004026772E-6</v>
      </c>
    </row>
    <row r="129" spans="1:17" x14ac:dyDescent="0.3">
      <c r="A129" s="66" t="s">
        <v>302</v>
      </c>
      <c r="B129" s="66">
        <v>8240</v>
      </c>
      <c r="C129" s="67" t="s">
        <v>303</v>
      </c>
      <c r="D129" s="71">
        <v>2193.5017813211298</v>
      </c>
      <c r="E129" s="72">
        <v>2624.6191049893719</v>
      </c>
      <c r="F129" s="73">
        <f t="shared" si="11"/>
        <v>4818.1208863105021</v>
      </c>
      <c r="G129" s="67" t="s">
        <v>395</v>
      </c>
      <c r="H129" s="84">
        <f t="shared" si="14"/>
        <v>7587.4144409609225</v>
      </c>
      <c r="I129" s="62">
        <f t="shared" si="13"/>
        <v>4092.0232684604443</v>
      </c>
      <c r="J129" s="62">
        <f t="shared" si="13"/>
        <v>726.0976178500581</v>
      </c>
      <c r="K129" s="62">
        <f t="shared" si="13"/>
        <v>2528.8542349874137</v>
      </c>
      <c r="L129" s="62">
        <f t="shared" si="13"/>
        <v>180.25438197414394</v>
      </c>
      <c r="M129" s="62">
        <f t="shared" si="13"/>
        <v>44.826026263366586</v>
      </c>
      <c r="N129" s="62">
        <f t="shared" si="13"/>
        <v>15.358911425496089</v>
      </c>
      <c r="P129" s="85">
        <f t="shared" si="15"/>
        <v>9.8528640653690108E-5</v>
      </c>
      <c r="Q129" s="86">
        <f t="shared" si="16"/>
        <v>6.4141170627927485E-5</v>
      </c>
    </row>
    <row r="130" spans="1:17" x14ac:dyDescent="0.3">
      <c r="A130" s="66" t="s">
        <v>304</v>
      </c>
      <c r="B130" s="66">
        <v>8244</v>
      </c>
      <c r="C130" s="67" t="s">
        <v>305</v>
      </c>
      <c r="D130" s="71">
        <v>650.74143159769756</v>
      </c>
      <c r="E130" s="72">
        <v>1940.9157323845932</v>
      </c>
      <c r="F130" s="73">
        <f t="shared" si="11"/>
        <v>2591.6571639822905</v>
      </c>
      <c r="G130" s="67" t="s">
        <v>392</v>
      </c>
      <c r="H130" s="84">
        <f t="shared" si="14"/>
        <v>4081.254384440495</v>
      </c>
      <c r="I130" s="62">
        <f t="shared" si="13"/>
        <v>2201.0907715120984</v>
      </c>
      <c r="J130" s="62">
        <f t="shared" si="13"/>
        <v>390.56639247019228</v>
      </c>
      <c r="K130" s="62">
        <f t="shared" si="13"/>
        <v>1360.2654124751075</v>
      </c>
      <c r="L130" s="62">
        <f t="shared" si="13"/>
        <v>96.958455672999619</v>
      </c>
      <c r="M130" s="62">
        <f t="shared" si="13"/>
        <v>24.111825925412354</v>
      </c>
      <c r="N130" s="62">
        <f t="shared" si="13"/>
        <v>8.2615263846850624</v>
      </c>
      <c r="P130" s="85">
        <f t="shared" si="15"/>
        <v>5.2998350069026599E-5</v>
      </c>
      <c r="Q130" s="86">
        <f t="shared" si="16"/>
        <v>3.4501401746972685E-5</v>
      </c>
    </row>
    <row r="131" spans="1:17" x14ac:dyDescent="0.3">
      <c r="A131" s="74" t="s">
        <v>306</v>
      </c>
      <c r="B131" s="74">
        <v>8245</v>
      </c>
      <c r="C131" s="75" t="s">
        <v>307</v>
      </c>
      <c r="D131" s="71">
        <v>14770.213442731218</v>
      </c>
      <c r="E131" s="72">
        <v>33918.486932653243</v>
      </c>
      <c r="F131" s="73">
        <f t="shared" si="11"/>
        <v>48688.700375384462</v>
      </c>
      <c r="G131" s="67" t="s">
        <v>396</v>
      </c>
      <c r="H131" s="84">
        <f t="shared" si="14"/>
        <v>76673.324944882741</v>
      </c>
      <c r="I131" s="62">
        <f t="shared" si="13"/>
        <v>41351.244509711192</v>
      </c>
      <c r="J131" s="62">
        <f t="shared" si="13"/>
        <v>7337.4558656732697</v>
      </c>
      <c r="K131" s="62">
        <f t="shared" si="13"/>
        <v>25554.905957249455</v>
      </c>
      <c r="L131" s="62">
        <f t="shared" si="13"/>
        <v>1821.5299703718574</v>
      </c>
      <c r="M131" s="62">
        <f t="shared" si="13"/>
        <v>452.98177718148651</v>
      </c>
      <c r="N131" s="62">
        <f t="shared" si="13"/>
        <v>155.20686469547746</v>
      </c>
      <c r="P131" s="85">
        <f t="shared" si="15"/>
        <v>9.9566440452160268E-4</v>
      </c>
      <c r="Q131" s="86">
        <f t="shared" si="16"/>
        <v>6.481676803300352E-4</v>
      </c>
    </row>
    <row r="132" spans="1:17" x14ac:dyDescent="0.3">
      <c r="A132" s="66" t="s">
        <v>308</v>
      </c>
      <c r="B132" s="66">
        <v>8248</v>
      </c>
      <c r="C132" s="67" t="s">
        <v>309</v>
      </c>
      <c r="D132" s="71">
        <v>3052.3714344793648</v>
      </c>
      <c r="E132" s="72">
        <v>5255.5563846374198</v>
      </c>
      <c r="F132" s="73">
        <f t="shared" ref="F132:F167" si="17">D132+E132</f>
        <v>8307.927819116785</v>
      </c>
      <c r="G132" s="67" t="s">
        <v>394</v>
      </c>
      <c r="H132" s="84">
        <f t="shared" si="14"/>
        <v>13083.04482113099</v>
      </c>
      <c r="I132" s="62">
        <f t="shared" si="13"/>
        <v>7055.9113709885523</v>
      </c>
      <c r="J132" s="62">
        <f t="shared" si="13"/>
        <v>1252.0164481282322</v>
      </c>
      <c r="K132" s="62">
        <f t="shared" si="13"/>
        <v>4360.5253884427502</v>
      </c>
      <c r="L132" s="62">
        <f t="shared" si="13"/>
        <v>310.81420119108759</v>
      </c>
      <c r="M132" s="62">
        <f t="shared" si="13"/>
        <v>77.293907604518111</v>
      </c>
      <c r="N132" s="62">
        <f t="shared" si="13"/>
        <v>26.483504775850573</v>
      </c>
      <c r="P132" s="85">
        <f t="shared" si="15"/>
        <v>1.6989379344804604E-4</v>
      </c>
      <c r="Q132" s="86">
        <f t="shared" si="16"/>
        <v>1.1059917930339238E-4</v>
      </c>
    </row>
    <row r="133" spans="1:17" x14ac:dyDescent="0.3">
      <c r="A133" s="66" t="s">
        <v>310</v>
      </c>
      <c r="B133" s="66">
        <v>8249</v>
      </c>
      <c r="C133" s="67" t="s">
        <v>311</v>
      </c>
      <c r="D133" s="71">
        <v>95.519359510211657</v>
      </c>
      <c r="E133" s="72">
        <v>253.22666269352754</v>
      </c>
      <c r="F133" s="73">
        <f t="shared" si="17"/>
        <v>348.74602220373919</v>
      </c>
      <c r="G133" s="67" t="s">
        <v>395</v>
      </c>
      <c r="H133" s="84">
        <f t="shared" si="14"/>
        <v>549.19348591159519</v>
      </c>
      <c r="I133" s="62">
        <f t="shared" ref="I133:N167" si="18">$F133*I$3/SUM($I$3:$J$3)</f>
        <v>296.18950443842311</v>
      </c>
      <c r="J133" s="62">
        <f t="shared" si="18"/>
        <v>52.556517765316102</v>
      </c>
      <c r="K133" s="62">
        <f t="shared" si="18"/>
        <v>183.04394513859546</v>
      </c>
      <c r="L133" s="62">
        <f t="shared" si="18"/>
        <v>13.047202463700264</v>
      </c>
      <c r="M133" s="62">
        <f t="shared" si="18"/>
        <v>3.2446048406478236</v>
      </c>
      <c r="N133" s="62">
        <f t="shared" si="18"/>
        <v>1.1117112649124459</v>
      </c>
      <c r="P133" s="85">
        <f t="shared" si="15"/>
        <v>7.1317163499873293E-6</v>
      </c>
      <c r="Q133" s="86">
        <f t="shared" si="16"/>
        <v>4.6426768119365655E-6</v>
      </c>
    </row>
    <row r="134" spans="1:17" x14ac:dyDescent="0.3">
      <c r="A134" s="66" t="s">
        <v>312</v>
      </c>
      <c r="B134" s="66">
        <v>8251</v>
      </c>
      <c r="C134" s="67" t="s">
        <v>313</v>
      </c>
      <c r="D134" s="71">
        <v>1887.3541131876534</v>
      </c>
      <c r="E134" s="72">
        <v>4098.4559162877467</v>
      </c>
      <c r="F134" s="73">
        <f t="shared" si="17"/>
        <v>5985.8100294754004</v>
      </c>
      <c r="G134" s="67" t="s">
        <v>395</v>
      </c>
      <c r="H134" s="84">
        <f t="shared" si="14"/>
        <v>9426.2519621562496</v>
      </c>
      <c r="I134" s="62">
        <f t="shared" si="18"/>
        <v>5083.740009677027</v>
      </c>
      <c r="J134" s="62">
        <f t="shared" si="18"/>
        <v>902.07001979837401</v>
      </c>
      <c r="K134" s="62">
        <f t="shared" si="18"/>
        <v>3141.7312682788274</v>
      </c>
      <c r="L134" s="62">
        <f t="shared" si="18"/>
        <v>223.9396878860683</v>
      </c>
      <c r="M134" s="62">
        <f t="shared" si="18"/>
        <v>55.689776973249572</v>
      </c>
      <c r="N134" s="62">
        <f t="shared" si="18"/>
        <v>19.08119954270364</v>
      </c>
      <c r="P134" s="85">
        <f t="shared" si="15"/>
        <v>1.2240741553229433E-4</v>
      </c>
      <c r="Q134" s="86">
        <f t="shared" si="16"/>
        <v>7.9686016915391812E-5</v>
      </c>
    </row>
    <row r="135" spans="1:17" x14ac:dyDescent="0.3">
      <c r="A135" s="76" t="s">
        <v>314</v>
      </c>
      <c r="B135" s="76">
        <v>8252</v>
      </c>
      <c r="C135" s="77" t="s">
        <v>315</v>
      </c>
      <c r="D135" s="71">
        <v>14278.217730293793</v>
      </c>
      <c r="E135" s="72">
        <v>41267.343735434188</v>
      </c>
      <c r="F135" s="73">
        <f t="shared" si="17"/>
        <v>55545.56146572798</v>
      </c>
      <c r="G135" s="67" t="s">
        <v>398</v>
      </c>
      <c r="H135" s="84">
        <f t="shared" si="14"/>
        <v>87471.278770481862</v>
      </c>
      <c r="I135" s="62">
        <f t="shared" si="18"/>
        <v>47174.766955984356</v>
      </c>
      <c r="J135" s="62">
        <f t="shared" si="18"/>
        <v>8370.7945097436295</v>
      </c>
      <c r="K135" s="62">
        <f t="shared" si="18"/>
        <v>29153.819852561413</v>
      </c>
      <c r="L135" s="62">
        <f t="shared" si="18"/>
        <v>2078.0572114450642</v>
      </c>
      <c r="M135" s="62">
        <f t="shared" si="18"/>
        <v>516.77549314932355</v>
      </c>
      <c r="N135" s="62">
        <f t="shared" si="18"/>
        <v>177.06474759807134</v>
      </c>
      <c r="P135" s="85">
        <f t="shared" si="15"/>
        <v>1.1358844650647636E-3</v>
      </c>
      <c r="Q135" s="86">
        <f t="shared" si="16"/>
        <v>7.3944955298236399E-4</v>
      </c>
    </row>
    <row r="136" spans="1:17" x14ac:dyDescent="0.3">
      <c r="A136" s="66" t="s">
        <v>316</v>
      </c>
      <c r="B136" s="66">
        <v>8256</v>
      </c>
      <c r="C136" s="67" t="s">
        <v>317</v>
      </c>
      <c r="D136" s="71">
        <v>33.876675055127826</v>
      </c>
      <c r="E136" s="72">
        <v>2.6897539655199463</v>
      </c>
      <c r="F136" s="73">
        <f t="shared" si="17"/>
        <v>36.566429020647774</v>
      </c>
      <c r="G136" s="67" t="s">
        <v>394</v>
      </c>
      <c r="H136" s="84">
        <f t="shared" si="14"/>
        <v>57.583580435668559</v>
      </c>
      <c r="I136" s="62">
        <f t="shared" si="18"/>
        <v>31.055816557475026</v>
      </c>
      <c r="J136" s="62">
        <f t="shared" si="18"/>
        <v>5.5106124631727482</v>
      </c>
      <c r="K136" s="62">
        <f t="shared" si="18"/>
        <v>19.192372102984326</v>
      </c>
      <c r="L136" s="62">
        <f t="shared" si="18"/>
        <v>1.3680144644867043</v>
      </c>
      <c r="M136" s="62">
        <f t="shared" si="18"/>
        <v>0.34020061893720077</v>
      </c>
      <c r="N136" s="62">
        <f t="shared" si="18"/>
        <v>0.11656422861255404</v>
      </c>
      <c r="P136" s="85">
        <f t="shared" si="15"/>
        <v>7.477688148507543E-7</v>
      </c>
      <c r="Q136" s="86">
        <f t="shared" si="16"/>
        <v>4.8679010311494675E-7</v>
      </c>
    </row>
    <row r="137" spans="1:17" x14ac:dyDescent="0.3">
      <c r="A137" s="66" t="s">
        <v>318</v>
      </c>
      <c r="B137" s="66">
        <v>8259</v>
      </c>
      <c r="C137" s="67" t="s">
        <v>319</v>
      </c>
      <c r="D137" s="71">
        <v>1733.3003972274864</v>
      </c>
      <c r="E137" s="72">
        <v>2878.5418963456391</v>
      </c>
      <c r="F137" s="73">
        <f t="shared" si="17"/>
        <v>4611.8422935731251</v>
      </c>
      <c r="G137" s="67" t="s">
        <v>394</v>
      </c>
      <c r="H137" s="84">
        <f t="shared" si="14"/>
        <v>7262.5738629995903</v>
      </c>
      <c r="I137" s="62">
        <f t="shared" si="18"/>
        <v>3916.8311507896497</v>
      </c>
      <c r="J137" s="62">
        <f t="shared" si="18"/>
        <v>695.01114278347552</v>
      </c>
      <c r="K137" s="62">
        <f t="shared" si="18"/>
        <v>2420.5861974806558</v>
      </c>
      <c r="L137" s="62">
        <f t="shared" si="18"/>
        <v>172.53713678131012</v>
      </c>
      <c r="M137" s="62">
        <f t="shared" si="18"/>
        <v>42.906886035505543</v>
      </c>
      <c r="N137" s="62">
        <f t="shared" si="18"/>
        <v>14.701349128993513</v>
      </c>
      <c r="P137" s="85">
        <f t="shared" si="15"/>
        <v>9.4310326124447702E-5</v>
      </c>
      <c r="Q137" s="86">
        <f t="shared" si="16"/>
        <v>6.1395089588066204E-5</v>
      </c>
    </row>
    <row r="138" spans="1:17" x14ac:dyDescent="0.3">
      <c r="A138" s="76" t="s">
        <v>320</v>
      </c>
      <c r="B138" s="76">
        <v>8260</v>
      </c>
      <c r="C138" s="77" t="s">
        <v>321</v>
      </c>
      <c r="D138" s="71">
        <v>6567.300091711084</v>
      </c>
      <c r="E138" s="72">
        <v>13686.014311650279</v>
      </c>
      <c r="F138" s="73">
        <f t="shared" si="17"/>
        <v>20253.314403361364</v>
      </c>
      <c r="G138" s="67" t="s">
        <v>398</v>
      </c>
      <c r="H138" s="84">
        <f t="shared" si="14"/>
        <v>31894.237153327133</v>
      </c>
      <c r="I138" s="62">
        <f t="shared" si="18"/>
        <v>17201.11133730047</v>
      </c>
      <c r="J138" s="62">
        <f t="shared" si="18"/>
        <v>3052.2030660608962</v>
      </c>
      <c r="K138" s="62">
        <f t="shared" si="18"/>
        <v>10630.218940125462</v>
      </c>
      <c r="L138" s="62">
        <f t="shared" si="18"/>
        <v>757.71213650504899</v>
      </c>
      <c r="M138" s="62">
        <f t="shared" si="18"/>
        <v>188.42939494208233</v>
      </c>
      <c r="N138" s="62">
        <f t="shared" si="18"/>
        <v>64.562278393175347</v>
      </c>
      <c r="P138" s="85">
        <f t="shared" si="15"/>
        <v>4.1417216047127557E-4</v>
      </c>
      <c r="Q138" s="86">
        <f t="shared" si="16"/>
        <v>2.6962198034882274E-4</v>
      </c>
    </row>
    <row r="139" spans="1:17" x14ac:dyDescent="0.3">
      <c r="A139" s="66" t="s">
        <v>322</v>
      </c>
      <c r="B139" s="66">
        <v>8261</v>
      </c>
      <c r="C139" s="67" t="s">
        <v>323</v>
      </c>
      <c r="D139" s="71">
        <v>415.96606413986518</v>
      </c>
      <c r="E139" s="72">
        <v>1470.9683914807422</v>
      </c>
      <c r="F139" s="73">
        <f t="shared" si="17"/>
        <v>1886.9344556206074</v>
      </c>
      <c r="G139" s="67" t="s">
        <v>393</v>
      </c>
      <c r="H139" s="84">
        <f t="shared" si="14"/>
        <v>2971.48080663576</v>
      </c>
      <c r="I139" s="62">
        <f t="shared" si="18"/>
        <v>1602.570769944286</v>
      </c>
      <c r="J139" s="62">
        <f t="shared" si="18"/>
        <v>284.3636856763215</v>
      </c>
      <c r="K139" s="62">
        <f t="shared" si="18"/>
        <v>990.38241294395095</v>
      </c>
      <c r="L139" s="62">
        <f t="shared" si="18"/>
        <v>70.593538881517162</v>
      </c>
      <c r="M139" s="62">
        <f t="shared" si="18"/>
        <v>17.555344803660805</v>
      </c>
      <c r="N139" s="62">
        <f t="shared" si="18"/>
        <v>6.0150543860235359</v>
      </c>
      <c r="P139" s="85">
        <f t="shared" si="15"/>
        <v>3.8587053189791596E-5</v>
      </c>
      <c r="Q139" s="86">
        <f t="shared" si="16"/>
        <v>2.5119790004761845E-5</v>
      </c>
    </row>
    <row r="140" spans="1:17" x14ac:dyDescent="0.3">
      <c r="A140" s="74" t="s">
        <v>324</v>
      </c>
      <c r="B140" s="74">
        <v>8263</v>
      </c>
      <c r="C140" s="75" t="s">
        <v>325</v>
      </c>
      <c r="D140" s="71">
        <v>8639.1204167927372</v>
      </c>
      <c r="E140" s="72">
        <v>14422.525243928714</v>
      </c>
      <c r="F140" s="73">
        <f t="shared" si="17"/>
        <v>23061.64566072145</v>
      </c>
      <c r="G140" s="67" t="s">
        <v>392</v>
      </c>
      <c r="H140" s="84">
        <f t="shared" si="14"/>
        <v>36316.70259989515</v>
      </c>
      <c r="I140" s="62">
        <f t="shared" si="18"/>
        <v>19586.223110505089</v>
      </c>
      <c r="J140" s="62">
        <f t="shared" si="18"/>
        <v>3475.4225502163636</v>
      </c>
      <c r="K140" s="62">
        <f t="shared" si="18"/>
        <v>12104.208605598727</v>
      </c>
      <c r="L140" s="62">
        <f t="shared" si="18"/>
        <v>862.77675134532717</v>
      </c>
      <c r="M140" s="62">
        <f t="shared" si="18"/>
        <v>214.55707701339176</v>
      </c>
      <c r="N140" s="62">
        <f t="shared" si="18"/>
        <v>73.5145052162501</v>
      </c>
      <c r="P140" s="85">
        <f t="shared" si="15"/>
        <v>4.7160140889032946E-4</v>
      </c>
      <c r="Q140" s="86">
        <f t="shared" si="16"/>
        <v>3.0700785310055654E-4</v>
      </c>
    </row>
    <row r="141" spans="1:17" x14ac:dyDescent="0.3">
      <c r="A141" s="66" t="s">
        <v>326</v>
      </c>
      <c r="B141" s="66">
        <v>8264</v>
      </c>
      <c r="C141" s="67" t="s">
        <v>327</v>
      </c>
      <c r="D141" s="71">
        <v>446.23430830807217</v>
      </c>
      <c r="E141" s="72">
        <v>1258.0533544149168</v>
      </c>
      <c r="F141" s="73">
        <f t="shared" si="17"/>
        <v>1704.2876627229889</v>
      </c>
      <c r="G141" s="67" t="s">
        <v>393</v>
      </c>
      <c r="H141" s="84">
        <f t="shared" si="14"/>
        <v>2683.8547908659925</v>
      </c>
      <c r="I141" s="62">
        <f t="shared" si="18"/>
        <v>1447.4491065235386</v>
      </c>
      <c r="J141" s="62">
        <f t="shared" si="18"/>
        <v>256.83855619945035</v>
      </c>
      <c r="K141" s="62">
        <f t="shared" si="18"/>
        <v>894.51783697651319</v>
      </c>
      <c r="L141" s="62">
        <f t="shared" si="18"/>
        <v>63.760400911305183</v>
      </c>
      <c r="M141" s="62">
        <f t="shared" si="18"/>
        <v>15.85606615778652</v>
      </c>
      <c r="N141" s="62">
        <f t="shared" si="18"/>
        <v>5.4328240973987958</v>
      </c>
      <c r="P141" s="85">
        <f t="shared" si="15"/>
        <v>3.4851999493839421E-5</v>
      </c>
      <c r="Q141" s="86">
        <f t="shared" si="16"/>
        <v>2.2688306987975016E-5</v>
      </c>
    </row>
    <row r="142" spans="1:17" x14ac:dyDescent="0.3">
      <c r="A142" s="76" t="s">
        <v>328</v>
      </c>
      <c r="B142" s="76">
        <v>8266</v>
      </c>
      <c r="C142" s="77" t="s">
        <v>329</v>
      </c>
      <c r="D142" s="71">
        <v>19354.43472345328</v>
      </c>
      <c r="E142" s="72">
        <v>56222.301012748118</v>
      </c>
      <c r="F142" s="73">
        <f t="shared" si="17"/>
        <v>75576.735736201401</v>
      </c>
      <c r="G142" s="67" t="s">
        <v>398</v>
      </c>
      <c r="H142" s="84">
        <f t="shared" si="14"/>
        <v>119015.69712682119</v>
      </c>
      <c r="I142" s="62">
        <f t="shared" si="18"/>
        <v>64187.214991951092</v>
      </c>
      <c r="J142" s="62">
        <f t="shared" si="18"/>
        <v>11389.520744250318</v>
      </c>
      <c r="K142" s="62">
        <f t="shared" si="18"/>
        <v>39667.445616826451</v>
      </c>
      <c r="L142" s="62">
        <f t="shared" si="18"/>
        <v>2827.4586946248428</v>
      </c>
      <c r="M142" s="62">
        <f t="shared" si="18"/>
        <v>703.13817792245277</v>
      </c>
      <c r="N142" s="62">
        <f t="shared" si="18"/>
        <v>240.91890124602332</v>
      </c>
      <c r="P142" s="85">
        <f t="shared" si="15"/>
        <v>1.5455139488692361E-3</v>
      </c>
      <c r="Q142" s="86">
        <f t="shared" si="16"/>
        <v>1.00611429574768E-3</v>
      </c>
    </row>
    <row r="143" spans="1:17" x14ac:dyDescent="0.3">
      <c r="A143" s="66" t="s">
        <v>330</v>
      </c>
      <c r="B143" s="66">
        <v>8267</v>
      </c>
      <c r="C143" s="67" t="s">
        <v>331</v>
      </c>
      <c r="D143" s="71">
        <v>1103.7587168966766</v>
      </c>
      <c r="E143" s="72">
        <v>3402.1032189854623</v>
      </c>
      <c r="F143" s="73">
        <f t="shared" si="17"/>
        <v>4505.8619358821388</v>
      </c>
      <c r="G143" s="67" t="s">
        <v>398</v>
      </c>
      <c r="H143" s="84">
        <f t="shared" si="14"/>
        <v>7095.6795663688245</v>
      </c>
      <c r="I143" s="62">
        <f t="shared" si="18"/>
        <v>3826.8221825830919</v>
      </c>
      <c r="J143" s="62">
        <f t="shared" si="18"/>
        <v>679.03975329904756</v>
      </c>
      <c r="K143" s="62">
        <f t="shared" si="18"/>
        <v>2364.9610102559409</v>
      </c>
      <c r="L143" s="62">
        <f t="shared" si="18"/>
        <v>168.57222508072056</v>
      </c>
      <c r="M143" s="62">
        <f t="shared" si="18"/>
        <v>41.920883731006498</v>
      </c>
      <c r="N143" s="62">
        <f t="shared" si="18"/>
        <v>14.363511419017602</v>
      </c>
      <c r="P143" s="85">
        <f t="shared" si="15"/>
        <v>9.2143070294700171E-5</v>
      </c>
      <c r="Q143" s="86">
        <f t="shared" si="16"/>
        <v>5.9984227476826885E-5</v>
      </c>
    </row>
    <row r="144" spans="1:17" x14ac:dyDescent="0.3">
      <c r="A144" s="66" t="s">
        <v>332</v>
      </c>
      <c r="B144" s="66">
        <v>8270</v>
      </c>
      <c r="C144" s="67" t="s">
        <v>333</v>
      </c>
      <c r="D144" s="71">
        <v>11305.862713644854</v>
      </c>
      <c r="E144" s="72">
        <v>19581.283418701183</v>
      </c>
      <c r="F144" s="73">
        <f t="shared" si="17"/>
        <v>30887.146132346039</v>
      </c>
      <c r="G144" s="67" t="s">
        <v>397</v>
      </c>
      <c r="H144" s="84">
        <f t="shared" si="14"/>
        <v>48640.037088004639</v>
      </c>
      <c r="I144" s="62">
        <f t="shared" si="18"/>
        <v>26232.409616165201</v>
      </c>
      <c r="J144" s="62">
        <f t="shared" si="18"/>
        <v>4654.7365161808411</v>
      </c>
      <c r="K144" s="62">
        <f t="shared" si="18"/>
        <v>16211.525643822271</v>
      </c>
      <c r="L144" s="62">
        <f t="shared" si="18"/>
        <v>1155.5424964221845</v>
      </c>
      <c r="M144" s="62">
        <f t="shared" si="18"/>
        <v>287.36265784921164</v>
      </c>
      <c r="N144" s="62">
        <f t="shared" si="18"/>
        <v>98.46015756493928</v>
      </c>
      <c r="P144" s="85">
        <f t="shared" si="15"/>
        <v>6.3162975647593873E-4</v>
      </c>
      <c r="Q144" s="86">
        <f t="shared" si="16"/>
        <v>4.1118472471569781E-4</v>
      </c>
    </row>
    <row r="145" spans="1:17" x14ac:dyDescent="0.3">
      <c r="A145" s="66" t="s">
        <v>334</v>
      </c>
      <c r="B145" s="66">
        <v>8273</v>
      </c>
      <c r="C145" s="67" t="s">
        <v>335</v>
      </c>
      <c r="D145" s="71">
        <v>1623.0554013188221</v>
      </c>
      <c r="E145" s="72">
        <v>3173.01167173983</v>
      </c>
      <c r="F145" s="73">
        <f t="shared" si="17"/>
        <v>4796.0670730586517</v>
      </c>
      <c r="G145" s="67" t="s">
        <v>395</v>
      </c>
      <c r="H145" s="84">
        <f t="shared" si="14"/>
        <v>7552.6848388829058</v>
      </c>
      <c r="I145" s="62">
        <f t="shared" si="18"/>
        <v>4073.2929959923413</v>
      </c>
      <c r="J145" s="62">
        <f t="shared" si="18"/>
        <v>722.7740770663105</v>
      </c>
      <c r="K145" s="62">
        <f t="shared" si="18"/>
        <v>2517.2790005016991</v>
      </c>
      <c r="L145" s="62">
        <f t="shared" si="18"/>
        <v>179.4293100069419</v>
      </c>
      <c r="M145" s="62">
        <f t="shared" si="18"/>
        <v>44.620845688748034</v>
      </c>
      <c r="N145" s="62">
        <f t="shared" si="18"/>
        <v>15.288609626865009</v>
      </c>
      <c r="P145" s="85">
        <f t="shared" si="15"/>
        <v>9.8077649013544868E-5</v>
      </c>
      <c r="Q145" s="86">
        <f t="shared" si="16"/>
        <v>6.3847579530451596E-5</v>
      </c>
    </row>
    <row r="146" spans="1:17" x14ac:dyDescent="0.3">
      <c r="A146" s="66" t="s">
        <v>336</v>
      </c>
      <c r="B146" s="66">
        <v>8276</v>
      </c>
      <c r="C146" s="67" t="s">
        <v>337</v>
      </c>
      <c r="D146" s="71">
        <v>73.377751784445138</v>
      </c>
      <c r="E146" s="72">
        <v>67.317407243190971</v>
      </c>
      <c r="F146" s="73">
        <f t="shared" si="17"/>
        <v>140.69515902763612</v>
      </c>
      <c r="G146" s="67" t="s">
        <v>394</v>
      </c>
      <c r="H146" s="84">
        <f t="shared" si="14"/>
        <v>221.56199617420401</v>
      </c>
      <c r="I146" s="62">
        <f t="shared" si="18"/>
        <v>119.49219998539635</v>
      </c>
      <c r="J146" s="62">
        <f t="shared" si="18"/>
        <v>21.202959042239794</v>
      </c>
      <c r="K146" s="62">
        <f t="shared" si="18"/>
        <v>73.845708139074702</v>
      </c>
      <c r="L146" s="62">
        <f t="shared" si="18"/>
        <v>5.2636535146590493</v>
      </c>
      <c r="M146" s="62">
        <f t="shared" si="18"/>
        <v>1.308976059861964</v>
      </c>
      <c r="N146" s="62">
        <f t="shared" si="18"/>
        <v>0.44849943297215344</v>
      </c>
      <c r="P146" s="85">
        <f t="shared" si="15"/>
        <v>2.8771596007345132E-6</v>
      </c>
      <c r="Q146" s="86">
        <f t="shared" si="16"/>
        <v>1.873002445280164E-6</v>
      </c>
    </row>
    <row r="147" spans="1:17" x14ac:dyDescent="0.3">
      <c r="A147" s="76" t="s">
        <v>338</v>
      </c>
      <c r="B147" s="76">
        <v>8279</v>
      </c>
      <c r="C147" s="77" t="s">
        <v>339</v>
      </c>
      <c r="D147" s="71">
        <v>235490.92189491386</v>
      </c>
      <c r="E147" s="72">
        <v>206303.35821460752</v>
      </c>
      <c r="F147" s="73">
        <f t="shared" si="17"/>
        <v>441794.28010952135</v>
      </c>
      <c r="G147" s="67" t="s">
        <v>398</v>
      </c>
      <c r="H147" s="84">
        <f t="shared" si="14"/>
        <v>695722.74750536308</v>
      </c>
      <c r="I147" s="62">
        <f t="shared" si="18"/>
        <v>375215.25854973902</v>
      </c>
      <c r="J147" s="62">
        <f t="shared" si="18"/>
        <v>66579.021559782384</v>
      </c>
      <c r="K147" s="62">
        <f t="shared" si="18"/>
        <v>231881.54938630137</v>
      </c>
      <c r="L147" s="62">
        <f t="shared" si="18"/>
        <v>16528.301551569151</v>
      </c>
      <c r="M147" s="62">
        <f t="shared" si="18"/>
        <v>4110.2916407644252</v>
      </c>
      <c r="N147" s="62">
        <f t="shared" si="18"/>
        <v>1408.3248172066847</v>
      </c>
      <c r="P147" s="85">
        <f t="shared" si="15"/>
        <v>9.034515923302117E-3</v>
      </c>
      <c r="Q147" s="86">
        <f t="shared" si="16"/>
        <v>5.8813805156820251E-3</v>
      </c>
    </row>
    <row r="148" spans="1:17" x14ac:dyDescent="0.3">
      <c r="A148" s="66" t="s">
        <v>340</v>
      </c>
      <c r="B148" s="66">
        <v>8281</v>
      </c>
      <c r="C148" s="67" t="s">
        <v>341</v>
      </c>
      <c r="D148" s="71">
        <v>556.28217999959827</v>
      </c>
      <c r="E148" s="72">
        <v>1468.3440442963554</v>
      </c>
      <c r="F148" s="73">
        <f t="shared" si="17"/>
        <v>2024.6262242959538</v>
      </c>
      <c r="G148" s="67" t="s">
        <v>393</v>
      </c>
      <c r="H148" s="84">
        <f t="shared" si="14"/>
        <v>3188.3131648725785</v>
      </c>
      <c r="I148" s="62">
        <f t="shared" si="18"/>
        <v>1719.51219474246</v>
      </c>
      <c r="J148" s="62">
        <f t="shared" si="18"/>
        <v>305.11402955349399</v>
      </c>
      <c r="K148" s="62">
        <f t="shared" si="18"/>
        <v>1062.6517520813081</v>
      </c>
      <c r="L148" s="62">
        <f t="shared" si="18"/>
        <v>75.744830277301759</v>
      </c>
      <c r="M148" s="62">
        <f t="shared" si="18"/>
        <v>18.836378423308496</v>
      </c>
      <c r="N148" s="62">
        <f t="shared" si="18"/>
        <v>6.4539797947058322</v>
      </c>
      <c r="P148" s="85">
        <f t="shared" si="15"/>
        <v>4.1402794661810355E-5</v>
      </c>
      <c r="Q148" s="86">
        <f t="shared" si="16"/>
        <v>2.6952809855666715E-5</v>
      </c>
    </row>
    <row r="149" spans="1:17" x14ac:dyDescent="0.3">
      <c r="A149" s="66" t="s">
        <v>342</v>
      </c>
      <c r="B149" s="66">
        <v>8282</v>
      </c>
      <c r="C149" s="67" t="s">
        <v>343</v>
      </c>
      <c r="D149" s="71">
        <v>1148.65816008763</v>
      </c>
      <c r="E149" s="72">
        <v>2755.4482232950863</v>
      </c>
      <c r="F149" s="73">
        <f t="shared" si="17"/>
        <v>3904.1063833827166</v>
      </c>
      <c r="G149" s="67" t="s">
        <v>393</v>
      </c>
      <c r="H149" s="84">
        <f t="shared" si="14"/>
        <v>6148.0551964749438</v>
      </c>
      <c r="I149" s="62">
        <f t="shared" si="18"/>
        <v>3315.752041161526</v>
      </c>
      <c r="J149" s="62">
        <f t="shared" si="18"/>
        <v>588.35434222119079</v>
      </c>
      <c r="K149" s="62">
        <f t="shared" si="18"/>
        <v>2049.1216792650898</v>
      </c>
      <c r="L149" s="62">
        <f t="shared" si="18"/>
        <v>146.05949080635213</v>
      </c>
      <c r="M149" s="62">
        <f t="shared" si="18"/>
        <v>36.32237119116828</v>
      </c>
      <c r="N149" s="62">
        <f t="shared" si="18"/>
        <v>12.445271829616924</v>
      </c>
      <c r="P149" s="85">
        <f t="shared" si="15"/>
        <v>7.9837410475737007E-5</v>
      </c>
      <c r="Q149" s="86">
        <f t="shared" si="16"/>
        <v>5.1973364636329681E-5</v>
      </c>
    </row>
    <row r="150" spans="1:17" x14ac:dyDescent="0.3">
      <c r="A150" s="66" t="s">
        <v>344</v>
      </c>
      <c r="B150" s="66">
        <v>8284</v>
      </c>
      <c r="C150" s="67" t="s">
        <v>345</v>
      </c>
      <c r="D150" s="71">
        <v>10679.922598733558</v>
      </c>
      <c r="E150" s="72">
        <v>13310.684705737096</v>
      </c>
      <c r="F150" s="73">
        <f t="shared" si="17"/>
        <v>23990.607304470654</v>
      </c>
      <c r="G150" s="67" t="s">
        <v>393</v>
      </c>
      <c r="H150" s="84">
        <f t="shared" si="14"/>
        <v>37779.600098151743</v>
      </c>
      <c r="I150" s="62">
        <f t="shared" si="18"/>
        <v>20375.188923407281</v>
      </c>
      <c r="J150" s="62">
        <f t="shared" si="18"/>
        <v>3615.4183810633735</v>
      </c>
      <c r="K150" s="62">
        <f t="shared" si="18"/>
        <v>12591.786365137876</v>
      </c>
      <c r="L150" s="62">
        <f t="shared" si="18"/>
        <v>897.5308413573614</v>
      </c>
      <c r="M150" s="62">
        <f t="shared" si="18"/>
        <v>223.19979479132806</v>
      </c>
      <c r="N150" s="62">
        <f t="shared" si="18"/>
        <v>76.475792394528639</v>
      </c>
      <c r="P150" s="85">
        <f t="shared" si="15"/>
        <v>4.9059830210612318E-4</v>
      </c>
      <c r="Q150" s="86">
        <f t="shared" si="16"/>
        <v>3.1937464270681418E-4</v>
      </c>
    </row>
    <row r="151" spans="1:17" x14ac:dyDescent="0.3">
      <c r="A151" s="66" t="s">
        <v>346</v>
      </c>
      <c r="B151" s="66">
        <v>8287</v>
      </c>
      <c r="C151" s="67" t="s">
        <v>347</v>
      </c>
      <c r="D151" s="71">
        <v>42.006335459047975</v>
      </c>
      <c r="E151" s="72">
        <v>311.2555931104452</v>
      </c>
      <c r="F151" s="73">
        <f t="shared" si="17"/>
        <v>353.26192856949319</v>
      </c>
      <c r="G151" s="67" t="s">
        <v>395</v>
      </c>
      <c r="H151" s="84">
        <f t="shared" si="14"/>
        <v>556.30498310771202</v>
      </c>
      <c r="I151" s="62">
        <f t="shared" si="18"/>
        <v>300.02485734111968</v>
      </c>
      <c r="J151" s="62">
        <f t="shared" si="18"/>
        <v>53.237071228373516</v>
      </c>
      <c r="K151" s="62">
        <f t="shared" si="18"/>
        <v>185.41417810022392</v>
      </c>
      <c r="L151" s="62">
        <f t="shared" si="18"/>
        <v>13.216150468580114</v>
      </c>
      <c r="M151" s="62">
        <f t="shared" si="18"/>
        <v>3.2866191740634396</v>
      </c>
      <c r="N151" s="62">
        <f t="shared" si="18"/>
        <v>1.1261067953514012</v>
      </c>
      <c r="P151" s="85">
        <f t="shared" si="15"/>
        <v>7.2240648248463328E-6</v>
      </c>
      <c r="Q151" s="86">
        <f t="shared" si="16"/>
        <v>4.7027947557533247E-6</v>
      </c>
    </row>
    <row r="152" spans="1:17" x14ac:dyDescent="0.3">
      <c r="A152" s="66" t="s">
        <v>348</v>
      </c>
      <c r="B152" s="66">
        <v>8288</v>
      </c>
      <c r="C152" s="67" t="s">
        <v>349</v>
      </c>
      <c r="D152" s="71">
        <v>847.14629338537452</v>
      </c>
      <c r="E152" s="72">
        <v>2235.0573519527729</v>
      </c>
      <c r="F152" s="73">
        <f t="shared" si="17"/>
        <v>3082.2036453381475</v>
      </c>
      <c r="G152" s="67" t="s">
        <v>395</v>
      </c>
      <c r="H152" s="84">
        <f t="shared" si="14"/>
        <v>4853.750455922861</v>
      </c>
      <c r="I152" s="62">
        <f t="shared" si="18"/>
        <v>2617.7112057716222</v>
      </c>
      <c r="J152" s="62">
        <f t="shared" si="18"/>
        <v>464.49243956652526</v>
      </c>
      <c r="K152" s="62">
        <f t="shared" si="18"/>
        <v>1617.7351970875202</v>
      </c>
      <c r="L152" s="62">
        <f t="shared" si="18"/>
        <v>115.31066287428079</v>
      </c>
      <c r="M152" s="62">
        <f t="shared" si="18"/>
        <v>28.675690132127613</v>
      </c>
      <c r="N152" s="62">
        <f t="shared" si="18"/>
        <v>9.8252604907844159</v>
      </c>
      <c r="P152" s="85">
        <f t="shared" si="15"/>
        <v>6.3029828964205272E-5</v>
      </c>
      <c r="Q152" s="86">
        <f t="shared" si="16"/>
        <v>4.1031795297490116E-5</v>
      </c>
    </row>
    <row r="153" spans="1:17" x14ac:dyDescent="0.3">
      <c r="A153" s="66" t="s">
        <v>350</v>
      </c>
      <c r="B153" s="66">
        <v>8289</v>
      </c>
      <c r="C153" s="67" t="s">
        <v>351</v>
      </c>
      <c r="D153" s="71">
        <v>1383.8487862818226</v>
      </c>
      <c r="E153" s="72">
        <v>2157.6414694995656</v>
      </c>
      <c r="F153" s="73">
        <f t="shared" si="17"/>
        <v>3541.4902557813884</v>
      </c>
      <c r="G153" s="67" t="s">
        <v>392</v>
      </c>
      <c r="H153" s="84">
        <f t="shared" si="14"/>
        <v>5577.0195358909941</v>
      </c>
      <c r="I153" s="62">
        <f t="shared" si="18"/>
        <v>3007.7826757851608</v>
      </c>
      <c r="J153" s="62">
        <f t="shared" si="18"/>
        <v>533.70757999622799</v>
      </c>
      <c r="K153" s="62">
        <f t="shared" si="18"/>
        <v>1858.7978265438362</v>
      </c>
      <c r="L153" s="62">
        <f t="shared" si="18"/>
        <v>132.49338328913561</v>
      </c>
      <c r="M153" s="62">
        <f t="shared" si="18"/>
        <v>32.948723986599184</v>
      </c>
      <c r="N153" s="62">
        <f t="shared" si="18"/>
        <v>11.289346290033802</v>
      </c>
      <c r="P153" s="85">
        <f t="shared" si="15"/>
        <v>7.2422056030568076E-5</v>
      </c>
      <c r="Q153" s="86">
        <f t="shared" si="16"/>
        <v>4.7146042229580048E-5</v>
      </c>
    </row>
    <row r="154" spans="1:17" x14ac:dyDescent="0.3">
      <c r="A154" s="66" t="s">
        <v>352</v>
      </c>
      <c r="B154" s="66">
        <v>8290</v>
      </c>
      <c r="C154" s="67" t="s">
        <v>353</v>
      </c>
      <c r="D154" s="71">
        <v>402.49863574185844</v>
      </c>
      <c r="E154" s="72">
        <v>1360.0843671860807</v>
      </c>
      <c r="F154" s="73">
        <f t="shared" si="17"/>
        <v>1762.5830029279391</v>
      </c>
      <c r="G154" s="67" t="s">
        <v>398</v>
      </c>
      <c r="H154" s="84">
        <f t="shared" si="14"/>
        <v>2775.6563285502143</v>
      </c>
      <c r="I154" s="62">
        <f t="shared" si="18"/>
        <v>1496.9592566817141</v>
      </c>
      <c r="J154" s="62">
        <f t="shared" si="18"/>
        <v>265.62374624622521</v>
      </c>
      <c r="K154" s="62">
        <f t="shared" si="18"/>
        <v>925.11491443386376</v>
      </c>
      <c r="L154" s="62">
        <f t="shared" si="18"/>
        <v>65.941332184837904</v>
      </c>
      <c r="M154" s="62">
        <f t="shared" si="18"/>
        <v>16.398424581894059</v>
      </c>
      <c r="N154" s="62">
        <f t="shared" si="18"/>
        <v>5.6186544216795573</v>
      </c>
      <c r="P154" s="85">
        <f t="shared" si="15"/>
        <v>3.6044115831799646E-5</v>
      </c>
      <c r="Q154" s="86">
        <f t="shared" si="16"/>
        <v>2.3464362934085174E-5</v>
      </c>
    </row>
    <row r="155" spans="1:17" x14ac:dyDescent="0.3">
      <c r="A155" s="66" t="s">
        <v>354</v>
      </c>
      <c r="B155" s="66">
        <v>8291</v>
      </c>
      <c r="C155" s="67" t="s">
        <v>355</v>
      </c>
      <c r="D155" s="71">
        <v>2056.3751088111158</v>
      </c>
      <c r="E155" s="72">
        <v>4539.625374066416</v>
      </c>
      <c r="F155" s="73">
        <f t="shared" si="17"/>
        <v>6596.0004828775318</v>
      </c>
      <c r="G155" s="67" t="s">
        <v>398</v>
      </c>
      <c r="H155" s="84">
        <f t="shared" si="14"/>
        <v>10387.159329805363</v>
      </c>
      <c r="I155" s="62">
        <f t="shared" si="18"/>
        <v>5601.9739005302663</v>
      </c>
      <c r="J155" s="62">
        <f t="shared" si="18"/>
        <v>994.02658234726596</v>
      </c>
      <c r="K155" s="62">
        <f t="shared" si="18"/>
        <v>3461.9977681541541</v>
      </c>
      <c r="L155" s="62">
        <f t="shared" si="18"/>
        <v>246.76798664815041</v>
      </c>
      <c r="M155" s="62">
        <f t="shared" si="18"/>
        <v>61.366764731604611</v>
      </c>
      <c r="N155" s="62">
        <f t="shared" si="18"/>
        <v>21.026327393919338</v>
      </c>
      <c r="P155" s="85">
        <f t="shared" si="15"/>
        <v>1.3488556569336453E-4</v>
      </c>
      <c r="Q155" s="86">
        <f t="shared" si="16"/>
        <v>8.7809169262689787E-5</v>
      </c>
    </row>
    <row r="156" spans="1:17" x14ac:dyDescent="0.3">
      <c r="A156" s="66" t="s">
        <v>356</v>
      </c>
      <c r="B156" s="66">
        <v>8294</v>
      </c>
      <c r="C156" s="67" t="s">
        <v>357</v>
      </c>
      <c r="D156" s="71">
        <v>1928.8013581327923</v>
      </c>
      <c r="E156" s="72">
        <v>3886.6287677031073</v>
      </c>
      <c r="F156" s="73">
        <f t="shared" si="17"/>
        <v>5815.4301258358992</v>
      </c>
      <c r="G156" s="67" t="s">
        <v>394</v>
      </c>
      <c r="H156" s="84">
        <f t="shared" si="14"/>
        <v>9157.9434302975151</v>
      </c>
      <c r="I156" s="62">
        <f t="shared" si="18"/>
        <v>4939.0365979897433</v>
      </c>
      <c r="J156" s="62">
        <f t="shared" si="18"/>
        <v>876.39352784615619</v>
      </c>
      <c r="K156" s="62">
        <f t="shared" si="18"/>
        <v>3052.3051307778569</v>
      </c>
      <c r="L156" s="62">
        <f t="shared" si="18"/>
        <v>217.56547583202618</v>
      </c>
      <c r="M156" s="62">
        <f t="shared" si="18"/>
        <v>54.104624957451442</v>
      </c>
      <c r="N156" s="62">
        <f t="shared" si="18"/>
        <v>18.538072894279605</v>
      </c>
      <c r="P156" s="85">
        <f t="shared" si="15"/>
        <v>1.1892321480416324E-4</v>
      </c>
      <c r="Q156" s="86">
        <f t="shared" si="16"/>
        <v>7.7417836699747715E-5</v>
      </c>
    </row>
    <row r="157" spans="1:17" x14ac:dyDescent="0.3">
      <c r="A157" s="66" t="s">
        <v>358</v>
      </c>
      <c r="B157" s="66">
        <v>8295</v>
      </c>
      <c r="C157" s="67" t="s">
        <v>359</v>
      </c>
      <c r="D157" s="71">
        <v>6993.3277203080752</v>
      </c>
      <c r="E157" s="72">
        <v>8409.2832099675834</v>
      </c>
      <c r="F157" s="73">
        <f t="shared" si="17"/>
        <v>15402.610930275659</v>
      </c>
      <c r="G157" s="67" t="s">
        <v>392</v>
      </c>
      <c r="H157" s="84">
        <f t="shared" si="14"/>
        <v>24255.512752476156</v>
      </c>
      <c r="I157" s="62">
        <f t="shared" si="18"/>
        <v>13081.415723878825</v>
      </c>
      <c r="J157" s="62">
        <f t="shared" si="18"/>
        <v>2321.1952063968379</v>
      </c>
      <c r="K157" s="62">
        <f t="shared" si="18"/>
        <v>8084.2633051322018</v>
      </c>
      <c r="L157" s="62">
        <f t="shared" si="18"/>
        <v>576.23878261615505</v>
      </c>
      <c r="M157" s="62">
        <f t="shared" si="18"/>
        <v>143.30023226413064</v>
      </c>
      <c r="N157" s="62">
        <f t="shared" si="18"/>
        <v>49.099502188006383</v>
      </c>
      <c r="P157" s="85">
        <f t="shared" si="15"/>
        <v>3.1497721897962542E-4</v>
      </c>
      <c r="Q157" s="86">
        <f t="shared" si="16"/>
        <v>2.0504705446502668E-4</v>
      </c>
    </row>
    <row r="158" spans="1:17" x14ac:dyDescent="0.3">
      <c r="A158" s="66" t="s">
        <v>360</v>
      </c>
      <c r="B158" s="66">
        <v>8296</v>
      </c>
      <c r="C158" s="67" t="s">
        <v>361</v>
      </c>
      <c r="D158" s="71">
        <v>420.63248631208643</v>
      </c>
      <c r="E158" s="72">
        <v>1730.63982570336</v>
      </c>
      <c r="F158" s="73">
        <f t="shared" si="17"/>
        <v>2151.2723120154465</v>
      </c>
      <c r="G158" s="67" t="s">
        <v>394</v>
      </c>
      <c r="H158" s="84">
        <f t="shared" si="14"/>
        <v>3387.7511568881555</v>
      </c>
      <c r="I158" s="62">
        <f t="shared" si="18"/>
        <v>1827.0725382946721</v>
      </c>
      <c r="J158" s="62">
        <f t="shared" si="18"/>
        <v>324.19977372077454</v>
      </c>
      <c r="K158" s="62">
        <f t="shared" si="18"/>
        <v>1129.1236200213577</v>
      </c>
      <c r="L158" s="62">
        <f t="shared" si="18"/>
        <v>80.482883308760961</v>
      </c>
      <c r="M158" s="62">
        <f t="shared" si="18"/>
        <v>20.014647086180055</v>
      </c>
      <c r="N158" s="62">
        <f t="shared" si="18"/>
        <v>6.8576944564105515</v>
      </c>
      <c r="P158" s="85">
        <f t="shared" si="15"/>
        <v>4.3992656386235636E-5</v>
      </c>
      <c r="Q158" s="86">
        <f t="shared" si="16"/>
        <v>2.8638784224814569E-5</v>
      </c>
    </row>
    <row r="159" spans="1:17" x14ac:dyDescent="0.3">
      <c r="A159" s="66" t="s">
        <v>362</v>
      </c>
      <c r="B159" s="66">
        <v>8300</v>
      </c>
      <c r="C159" s="67" t="s">
        <v>363</v>
      </c>
      <c r="D159" s="71">
        <v>1132.729373663921</v>
      </c>
      <c r="E159" s="72">
        <v>3944.7758216545103</v>
      </c>
      <c r="F159" s="73">
        <f t="shared" si="17"/>
        <v>5077.5051953184311</v>
      </c>
      <c r="G159" s="67" t="s">
        <v>398</v>
      </c>
      <c r="H159" s="84">
        <f t="shared" si="14"/>
        <v>7995.8841116819658</v>
      </c>
      <c r="I159" s="62">
        <f t="shared" si="18"/>
        <v>4312.3179960065509</v>
      </c>
      <c r="J159" s="62">
        <f t="shared" si="18"/>
        <v>765.18719931188002</v>
      </c>
      <c r="K159" s="62">
        <f t="shared" si="18"/>
        <v>2664.9955074464947</v>
      </c>
      <c r="L159" s="62">
        <f t="shared" si="18"/>
        <v>189.95840547568329</v>
      </c>
      <c r="M159" s="62">
        <f t="shared" si="18"/>
        <v>47.2392425612246</v>
      </c>
      <c r="N159" s="62">
        <f t="shared" si="18"/>
        <v>16.185760880132115</v>
      </c>
      <c r="P159" s="85">
        <f t="shared" si="15"/>
        <v>1.038329457918325E-4</v>
      </c>
      <c r="Q159" s="86">
        <f t="shared" si="16"/>
        <v>6.759422081385268E-5</v>
      </c>
    </row>
    <row r="160" spans="1:17" x14ac:dyDescent="0.3">
      <c r="A160" s="74" t="s">
        <v>364</v>
      </c>
      <c r="B160" s="74">
        <v>8301</v>
      </c>
      <c r="C160" s="75" t="s">
        <v>365</v>
      </c>
      <c r="D160" s="71">
        <v>11099.381371234733</v>
      </c>
      <c r="E160" s="72">
        <v>24610.043103729131</v>
      </c>
      <c r="F160" s="73">
        <f t="shared" si="17"/>
        <v>35709.42447496386</v>
      </c>
      <c r="G160" s="67" t="s">
        <v>392</v>
      </c>
      <c r="H160" s="84">
        <f t="shared" si="14"/>
        <v>56233.998551086464</v>
      </c>
      <c r="I160" s="62">
        <f t="shared" si="18"/>
        <v>30327.963806399628</v>
      </c>
      <c r="J160" s="62">
        <f t="shared" si="18"/>
        <v>5381.4606685642348</v>
      </c>
      <c r="K160" s="62">
        <f t="shared" si="18"/>
        <v>18742.561974534892</v>
      </c>
      <c r="L160" s="62">
        <f t="shared" si="18"/>
        <v>1335.9524161536706</v>
      </c>
      <c r="M160" s="62">
        <f t="shared" si="18"/>
        <v>332.22736355836594</v>
      </c>
      <c r="N160" s="62">
        <f t="shared" si="18"/>
        <v>113.83232187567553</v>
      </c>
      <c r="P160" s="85">
        <f t="shared" si="15"/>
        <v>7.3024341544448718E-4</v>
      </c>
      <c r="Q160" s="86">
        <f t="shared" si="16"/>
        <v>4.75381241425776E-4</v>
      </c>
    </row>
    <row r="161" spans="1:17" x14ac:dyDescent="0.3">
      <c r="A161" s="66" t="s">
        <v>366</v>
      </c>
      <c r="B161" s="66">
        <v>8304</v>
      </c>
      <c r="C161" s="67" t="s">
        <v>367</v>
      </c>
      <c r="D161" s="71">
        <v>161.66202400949146</v>
      </c>
      <c r="E161" s="72">
        <v>491.5456599625046</v>
      </c>
      <c r="F161" s="73">
        <f t="shared" si="17"/>
        <v>653.20768397199606</v>
      </c>
      <c r="G161" s="67" t="s">
        <v>395</v>
      </c>
      <c r="H161" s="84">
        <f t="shared" si="14"/>
        <v>1028.6494530258583</v>
      </c>
      <c r="I161" s="62">
        <f t="shared" si="18"/>
        <v>554.76836406182019</v>
      </c>
      <c r="J161" s="62">
        <f t="shared" si="18"/>
        <v>98.439319910175925</v>
      </c>
      <c r="K161" s="62">
        <f t="shared" si="18"/>
        <v>342.844660172864</v>
      </c>
      <c r="L161" s="62">
        <f t="shared" si="18"/>
        <v>24.437649065566877</v>
      </c>
      <c r="M161" s="62">
        <f t="shared" si="18"/>
        <v>6.0772042644997617</v>
      </c>
      <c r="N161" s="62">
        <f t="shared" si="18"/>
        <v>2.0822555509315599</v>
      </c>
      <c r="P161" s="85">
        <f t="shared" si="15"/>
        <v>1.3357835281627745E-5</v>
      </c>
      <c r="Q161" s="86">
        <f t="shared" si="16"/>
        <v>8.6958186607900447E-6</v>
      </c>
    </row>
    <row r="162" spans="1:17" x14ac:dyDescent="0.3">
      <c r="A162" s="66" t="s">
        <v>368</v>
      </c>
      <c r="B162" s="66">
        <v>8305</v>
      </c>
      <c r="C162" s="67" t="s">
        <v>369</v>
      </c>
      <c r="D162" s="71">
        <v>13368.346643112007</v>
      </c>
      <c r="E162" s="72">
        <v>24594.619625146752</v>
      </c>
      <c r="F162" s="73">
        <f t="shared" si="17"/>
        <v>37962.966268258759</v>
      </c>
      <c r="G162" s="67" t="s">
        <v>395</v>
      </c>
      <c r="H162" s="84">
        <f t="shared" si="14"/>
        <v>59782.800241458332</v>
      </c>
      <c r="I162" s="62">
        <f t="shared" si="18"/>
        <v>32241.893670802063</v>
      </c>
      <c r="J162" s="62">
        <f t="shared" si="18"/>
        <v>5721.0725974566976</v>
      </c>
      <c r="K162" s="62">
        <f t="shared" si="18"/>
        <v>19925.363079398594</v>
      </c>
      <c r="L162" s="62">
        <f t="shared" si="18"/>
        <v>1420.2613807455355</v>
      </c>
      <c r="M162" s="62">
        <f t="shared" si="18"/>
        <v>353.19348831850778</v>
      </c>
      <c r="N162" s="62">
        <f t="shared" si="18"/>
        <v>121.01602473693234</v>
      </c>
      <c r="P162" s="85">
        <f t="shared" si="15"/>
        <v>7.7632744172545759E-4</v>
      </c>
      <c r="Q162" s="86">
        <f t="shared" si="16"/>
        <v>5.0538148676864032E-4</v>
      </c>
    </row>
    <row r="163" spans="1:17" x14ac:dyDescent="0.3">
      <c r="A163" s="66" t="s">
        <v>370</v>
      </c>
      <c r="B163" s="66">
        <v>8306</v>
      </c>
      <c r="C163" s="67" t="s">
        <v>371</v>
      </c>
      <c r="D163" s="71">
        <v>42.213540273286632</v>
      </c>
      <c r="E163" s="72">
        <v>266.63280232888371</v>
      </c>
      <c r="F163" s="73">
        <f t="shared" si="17"/>
        <v>308.84634260217035</v>
      </c>
      <c r="G163" s="67" t="s">
        <v>394</v>
      </c>
      <c r="H163" s="84">
        <f t="shared" si="14"/>
        <v>486.36081476405195</v>
      </c>
      <c r="I163" s="62">
        <f t="shared" si="18"/>
        <v>262.3027628671129</v>
      </c>
      <c r="J163" s="62">
        <f t="shared" si="18"/>
        <v>46.543579735057506</v>
      </c>
      <c r="K163" s="62">
        <f t="shared" si="18"/>
        <v>162.10207254636722</v>
      </c>
      <c r="L163" s="62">
        <f t="shared" si="18"/>
        <v>11.554485228650872</v>
      </c>
      <c r="M163" s="62">
        <f t="shared" si="18"/>
        <v>2.8733928831393394</v>
      </c>
      <c r="N163" s="62">
        <f t="shared" si="18"/>
        <v>0.98452150372415081</v>
      </c>
      <c r="P163" s="85">
        <f t="shared" si="15"/>
        <v>6.3157838969785117E-6</v>
      </c>
      <c r="Q163" s="86">
        <f t="shared" si="16"/>
        <v>4.1115128545117466E-6</v>
      </c>
    </row>
    <row r="164" spans="1:17" x14ac:dyDescent="0.3">
      <c r="A164" s="66" t="s">
        <v>372</v>
      </c>
      <c r="B164" s="66">
        <v>8307</v>
      </c>
      <c r="C164" s="67" t="s">
        <v>373</v>
      </c>
      <c r="D164" s="71">
        <v>24897.671354110327</v>
      </c>
      <c r="E164" s="72">
        <v>24980.820724583871</v>
      </c>
      <c r="F164" s="73">
        <f t="shared" si="17"/>
        <v>49878.492078694195</v>
      </c>
      <c r="G164" s="67" t="s">
        <v>397</v>
      </c>
      <c r="H164" s="84">
        <f t="shared" si="14"/>
        <v>78546.968833120787</v>
      </c>
      <c r="I164" s="62">
        <f t="shared" si="18"/>
        <v>42361.73292406329</v>
      </c>
      <c r="J164" s="62">
        <f t="shared" si="18"/>
        <v>7516.7591546309068</v>
      </c>
      <c r="K164" s="62">
        <f t="shared" si="18"/>
        <v>26179.383810475701</v>
      </c>
      <c r="L164" s="62">
        <f t="shared" si="18"/>
        <v>1866.0421719580424</v>
      </c>
      <c r="M164" s="62">
        <f t="shared" si="18"/>
        <v>464.05116198916789</v>
      </c>
      <c r="N164" s="62">
        <f t="shared" si="18"/>
        <v>158.99961000368367</v>
      </c>
      <c r="P164" s="85">
        <f t="shared" si="15"/>
        <v>1.019995167894772E-3</v>
      </c>
      <c r="Q164" s="86">
        <f t="shared" si="16"/>
        <v>6.6400676665734413E-4</v>
      </c>
    </row>
    <row r="165" spans="1:17" x14ac:dyDescent="0.3">
      <c r="A165" s="66" t="s">
        <v>374</v>
      </c>
      <c r="B165" s="66">
        <v>8902</v>
      </c>
      <c r="C165" s="67" t="s">
        <v>375</v>
      </c>
      <c r="D165" s="71">
        <v>1374.0777632397376</v>
      </c>
      <c r="E165" s="72">
        <v>3127.1933535619783</v>
      </c>
      <c r="F165" s="73">
        <f t="shared" si="17"/>
        <v>4501.2711168017158</v>
      </c>
      <c r="G165" s="67" t="s">
        <v>394</v>
      </c>
      <c r="H165" s="84">
        <f t="shared" si="14"/>
        <v>7088.4500991535851</v>
      </c>
      <c r="I165" s="62">
        <f t="shared" si="18"/>
        <v>3822.923206417558</v>
      </c>
      <c r="J165" s="62">
        <f t="shared" si="18"/>
        <v>678.34791038415801</v>
      </c>
      <c r="K165" s="62">
        <f t="shared" si="18"/>
        <v>2362.5514583689023</v>
      </c>
      <c r="L165" s="62">
        <f t="shared" si="18"/>
        <v>168.40047445934286</v>
      </c>
      <c r="M165" s="62">
        <f t="shared" si="18"/>
        <v>41.878172437220968</v>
      </c>
      <c r="N165" s="62">
        <f t="shared" si="18"/>
        <v>14.348877086403196</v>
      </c>
      <c r="P165" s="85">
        <f t="shared" si="15"/>
        <v>9.2049189884856929E-5</v>
      </c>
      <c r="Q165" s="86">
        <f t="shared" si="16"/>
        <v>5.9923112258486051E-5</v>
      </c>
    </row>
    <row r="166" spans="1:17" x14ac:dyDescent="0.3">
      <c r="A166" s="76" t="s">
        <v>376</v>
      </c>
      <c r="B166" s="76">
        <v>8904</v>
      </c>
      <c r="C166" s="77" t="s">
        <v>377</v>
      </c>
      <c r="D166" s="71">
        <v>875.02377749806874</v>
      </c>
      <c r="E166" s="72">
        <v>2246.6946253082169</v>
      </c>
      <c r="F166" s="73">
        <f t="shared" si="17"/>
        <v>3121.7184028062857</v>
      </c>
      <c r="G166" s="67" t="s">
        <v>398</v>
      </c>
      <c r="H166" s="84">
        <f t="shared" si="14"/>
        <v>4915.9769646633686</v>
      </c>
      <c r="I166" s="62">
        <f t="shared" si="18"/>
        <v>2651.2710335182878</v>
      </c>
      <c r="J166" s="62">
        <f t="shared" si="18"/>
        <v>470.44736928799779</v>
      </c>
      <c r="K166" s="62">
        <f t="shared" si="18"/>
        <v>1638.4750382259444</v>
      </c>
      <c r="L166" s="62">
        <f t="shared" si="18"/>
        <v>116.78897949487761</v>
      </c>
      <c r="M166" s="62">
        <f t="shared" si="18"/>
        <v>29.043320915549842</v>
      </c>
      <c r="N166" s="62">
        <f t="shared" si="18"/>
        <v>9.9512232207104052</v>
      </c>
      <c r="P166" s="85">
        <f t="shared" si="15"/>
        <v>6.3837889913891661E-5</v>
      </c>
      <c r="Q166" s="86">
        <f t="shared" si="16"/>
        <v>4.1557834984100358E-5</v>
      </c>
    </row>
    <row r="167" spans="1:17" ht="13.5" thickBot="1" x14ac:dyDescent="0.35">
      <c r="A167" s="66" t="s">
        <v>378</v>
      </c>
      <c r="B167" s="66">
        <v>8905</v>
      </c>
      <c r="C167" s="67" t="s">
        <v>379</v>
      </c>
      <c r="D167" s="78">
        <v>233.0873949427133</v>
      </c>
      <c r="E167" s="79">
        <v>743.49178953361911</v>
      </c>
      <c r="F167" s="80">
        <f t="shared" si="17"/>
        <v>976.57918447633244</v>
      </c>
      <c r="G167" s="67" t="s">
        <v>392</v>
      </c>
      <c r="H167" s="84">
        <f t="shared" si="14"/>
        <v>1537.8839970766251</v>
      </c>
      <c r="I167" s="62">
        <f t="shared" si="18"/>
        <v>829.40732303447328</v>
      </c>
      <c r="J167" s="62">
        <f t="shared" si="18"/>
        <v>147.17186144185928</v>
      </c>
      <c r="K167" s="62">
        <f t="shared" si="18"/>
        <v>512.57045324046567</v>
      </c>
      <c r="L167" s="62">
        <f t="shared" si="18"/>
        <v>36.535546014785162</v>
      </c>
      <c r="M167" s="62">
        <f t="shared" si="18"/>
        <v>9.0857338793578908</v>
      </c>
      <c r="N167" s="62">
        <f t="shared" si="18"/>
        <v>3.1130794656837462</v>
      </c>
      <c r="P167" s="85">
        <f t="shared" si="15"/>
        <v>1.9970652834911327E-5</v>
      </c>
      <c r="Q167" s="86">
        <f t="shared" si="16"/>
        <v>1.300069748792558E-5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5E63A-080C-4FFA-87A7-7BFCDD19AA5E}">
  <dimension ref="A1:AC36"/>
  <sheetViews>
    <sheetView showGridLines="0" tabSelected="1" zoomScale="110" zoomScaleNormal="110" workbookViewId="0">
      <selection activeCell="A17" sqref="A17:B17"/>
    </sheetView>
  </sheetViews>
  <sheetFormatPr baseColWidth="10" defaultColWidth="10.90625" defaultRowHeight="12.5" x14ac:dyDescent="0.25"/>
  <cols>
    <col min="1" max="1" width="73.453125" style="87" customWidth="1"/>
    <col min="2" max="2" width="26.36328125" style="87" customWidth="1"/>
    <col min="3" max="4" width="12.90625" style="87" customWidth="1"/>
    <col min="5" max="5" width="45.08984375" style="87" customWidth="1"/>
    <col min="6" max="6" width="16.453125" style="141" customWidth="1"/>
    <col min="7" max="7" width="12.90625" style="141" customWidth="1"/>
    <col min="8" max="12" width="11.6328125" style="141" customWidth="1"/>
    <col min="13" max="29" width="10.90625" style="87" customWidth="1"/>
    <col min="30" max="16384" width="10.90625" style="87"/>
  </cols>
  <sheetData>
    <row r="1" spans="1:29" ht="20.149999999999999" customHeight="1" x14ac:dyDescent="0.25">
      <c r="A1" s="271" t="s">
        <v>399</v>
      </c>
      <c r="B1" s="271"/>
      <c r="E1" s="92" t="s">
        <v>400</v>
      </c>
      <c r="F1" s="87"/>
    </row>
    <row r="2" spans="1:29" ht="35.15" customHeight="1" x14ac:dyDescent="0.25">
      <c r="A2" s="271"/>
      <c r="B2" s="271"/>
      <c r="E2" s="92"/>
      <c r="F2" s="87"/>
    </row>
    <row r="3" spans="1:29" x14ac:dyDescent="0.25">
      <c r="A3" s="92" t="s">
        <v>401</v>
      </c>
    </row>
    <row r="4" spans="1:29" ht="69.75" customHeight="1" x14ac:dyDescent="0.25">
      <c r="A4" s="270" t="s">
        <v>616</v>
      </c>
      <c r="B4" s="270"/>
      <c r="C4" s="270"/>
      <c r="D4" s="270"/>
      <c r="E4" s="270"/>
      <c r="F4" s="270"/>
    </row>
    <row r="5" spans="1:29" ht="5.4" customHeight="1" thickBot="1" x14ac:dyDescent="0.3"/>
    <row r="6" spans="1:29" s="217" customFormat="1" ht="14.15" customHeight="1" thickBot="1" x14ac:dyDescent="0.3">
      <c r="A6" s="218" t="s">
        <v>402</v>
      </c>
      <c r="B6" s="225" t="s">
        <v>597</v>
      </c>
      <c r="F6" s="219"/>
      <c r="G6" s="219"/>
      <c r="H6" s="219"/>
      <c r="I6" s="219"/>
      <c r="J6" s="219"/>
      <c r="K6" s="219"/>
      <c r="L6" s="219"/>
    </row>
    <row r="7" spans="1:29" ht="5.15" customHeight="1" thickBot="1" x14ac:dyDescent="0.3">
      <c r="A7" s="220"/>
      <c r="B7" s="226"/>
    </row>
    <row r="8" spans="1:29" ht="14.15" customHeight="1" thickBot="1" x14ac:dyDescent="0.3">
      <c r="A8" s="218" t="s">
        <v>403</v>
      </c>
      <c r="B8" s="227">
        <v>0.76</v>
      </c>
      <c r="W8" s="141"/>
      <c r="X8" s="141"/>
      <c r="Y8" s="141"/>
      <c r="Z8" s="141"/>
      <c r="AA8" s="141"/>
      <c r="AB8" s="141"/>
      <c r="AC8" s="141"/>
    </row>
    <row r="9" spans="1:29" ht="5.15" customHeight="1" x14ac:dyDescent="0.25">
      <c r="A9" s="220"/>
      <c r="B9" s="228"/>
      <c r="W9" s="141"/>
      <c r="X9" s="141"/>
      <c r="Y9" s="141"/>
      <c r="Z9" s="141"/>
      <c r="AA9" s="141"/>
      <c r="AB9" s="141"/>
      <c r="AC9" s="141"/>
    </row>
    <row r="10" spans="1:29" ht="14.15" customHeight="1" thickBot="1" x14ac:dyDescent="0.3">
      <c r="A10" s="218" t="s">
        <v>404</v>
      </c>
      <c r="B10" s="228"/>
      <c r="V10" s="267" t="s">
        <v>405</v>
      </c>
      <c r="W10" s="267"/>
      <c r="X10" s="267"/>
      <c r="Y10" s="267"/>
      <c r="Z10" s="267"/>
      <c r="AA10" s="267"/>
      <c r="AB10" s="267"/>
      <c r="AC10" s="267"/>
    </row>
    <row r="11" spans="1:29" ht="14.15" customHeight="1" thickBot="1" x14ac:dyDescent="0.3">
      <c r="A11" s="221" t="s">
        <v>406</v>
      </c>
      <c r="B11" s="229">
        <v>0.123</v>
      </c>
      <c r="D11" s="269"/>
      <c r="E11" s="269"/>
      <c r="V11" s="195" t="s">
        <v>407</v>
      </c>
      <c r="W11" s="201" t="s">
        <v>408</v>
      </c>
      <c r="X11" s="201" t="s">
        <v>409</v>
      </c>
      <c r="Y11" s="201" t="s">
        <v>410</v>
      </c>
      <c r="Z11" s="201" t="s">
        <v>411</v>
      </c>
      <c r="AA11" s="201" t="s">
        <v>412</v>
      </c>
      <c r="AB11" s="201" t="s">
        <v>413</v>
      </c>
      <c r="AC11" s="201" t="s">
        <v>414</v>
      </c>
    </row>
    <row r="12" spans="1:29" ht="14.15" customHeight="1" thickBot="1" x14ac:dyDescent="0.3">
      <c r="A12" s="221" t="s">
        <v>415</v>
      </c>
      <c r="B12" s="229">
        <v>0.318</v>
      </c>
      <c r="V12" s="195" t="s">
        <v>416</v>
      </c>
      <c r="W12" s="142">
        <v>0.12257271420552272</v>
      </c>
      <c r="X12" s="142">
        <v>0.31843981215581607</v>
      </c>
      <c r="Y12" s="142">
        <v>7.8883761810591077E-2</v>
      </c>
      <c r="Z12" s="142">
        <v>8.4524762091680888E-2</v>
      </c>
      <c r="AA12" s="142">
        <v>0.28144629998467902</v>
      </c>
      <c r="AB12" s="142">
        <v>0.16066234056835982</v>
      </c>
      <c r="AC12" s="142">
        <v>0.13720600553014711</v>
      </c>
    </row>
    <row r="13" spans="1:29" ht="14.15" customHeight="1" thickBot="1" x14ac:dyDescent="0.3">
      <c r="A13" s="221" t="s">
        <v>417</v>
      </c>
      <c r="B13" s="229">
        <v>8.3000000000000004E-2</v>
      </c>
      <c r="V13" s="195" t="s">
        <v>418</v>
      </c>
      <c r="W13" s="142">
        <v>0.33918930549150733</v>
      </c>
      <c r="X13" s="142">
        <v>0.4032104125139363</v>
      </c>
      <c r="Y13" s="142">
        <v>0.3440727312678532</v>
      </c>
      <c r="Z13" s="142">
        <v>9.4413494975114615E-2</v>
      </c>
      <c r="AA13" s="142">
        <v>0.21372759307491956</v>
      </c>
      <c r="AB13" s="142">
        <v>0.24882524054598343</v>
      </c>
      <c r="AC13" s="142">
        <v>0.30152714133318648</v>
      </c>
    </row>
    <row r="14" spans="1:29" ht="14.15" customHeight="1" thickBot="1" x14ac:dyDescent="0.3">
      <c r="A14" s="221" t="s">
        <v>419</v>
      </c>
      <c r="B14" s="229">
        <v>0.28100000000000003</v>
      </c>
      <c r="V14" s="195" t="s">
        <v>420</v>
      </c>
      <c r="W14" s="142">
        <v>0.52355640962731842</v>
      </c>
      <c r="X14" s="142">
        <v>0.26234839014831585</v>
      </c>
      <c r="Y14" s="142">
        <v>0.26507910349373764</v>
      </c>
      <c r="Z14" s="142">
        <v>0.80964818253644744</v>
      </c>
      <c r="AA14" s="142">
        <v>0.45150911597977633</v>
      </c>
      <c r="AB14" s="142">
        <v>0.43074513313940477</v>
      </c>
      <c r="AC14" s="142">
        <v>0.54159246208793699</v>
      </c>
    </row>
    <row r="15" spans="1:29" ht="14.15" customHeight="1" thickBot="1" x14ac:dyDescent="0.3">
      <c r="A15" s="221" t="s">
        <v>421</v>
      </c>
      <c r="B15" s="229">
        <v>0.161</v>
      </c>
      <c r="V15" s="195" t="s">
        <v>422</v>
      </c>
      <c r="W15" s="142">
        <v>9.5325198813605259E-3</v>
      </c>
      <c r="X15" s="142">
        <v>9.5104564343389975E-3</v>
      </c>
      <c r="Y15" s="142">
        <v>0</v>
      </c>
      <c r="Z15" s="142">
        <v>3.7743255280281412E-5</v>
      </c>
      <c r="AA15" s="142">
        <v>5.0354935907257037E-2</v>
      </c>
      <c r="AB15" s="142">
        <v>0.12553143880062653</v>
      </c>
      <c r="AC15" s="142">
        <v>8.2854500994378362E-3</v>
      </c>
    </row>
    <row r="16" spans="1:29" ht="5.15" customHeight="1" x14ac:dyDescent="0.25">
      <c r="A16" s="89"/>
      <c r="V16" s="195" t="s">
        <v>423</v>
      </c>
      <c r="W16" s="142">
        <v>5.1490507942910215E-3</v>
      </c>
      <c r="X16" s="142">
        <v>6.4909287475928244E-3</v>
      </c>
      <c r="Y16" s="142">
        <v>0.31196440342781806</v>
      </c>
      <c r="Z16" s="142">
        <v>1.1375817141476818E-2</v>
      </c>
      <c r="AA16" s="142">
        <v>2.9620550533680607E-3</v>
      </c>
      <c r="AB16" s="142">
        <v>3.4235846945625419E-2</v>
      </c>
      <c r="AC16" s="142">
        <v>1.1388940949291588E-2</v>
      </c>
    </row>
    <row r="17" spans="1:8" ht="62.4" customHeight="1" thickBot="1" x14ac:dyDescent="0.3">
      <c r="A17" s="268" t="s">
        <v>424</v>
      </c>
      <c r="B17" s="268"/>
      <c r="D17" s="272" t="s">
        <v>425</v>
      </c>
      <c r="E17" s="272"/>
    </row>
    <row r="18" spans="1:8" ht="13" thickBot="1" x14ac:dyDescent="0.3">
      <c r="A18" s="224" t="s">
        <v>426</v>
      </c>
      <c r="B18" s="222">
        <v>0.45</v>
      </c>
      <c r="D18" s="272"/>
      <c r="E18" s="272"/>
    </row>
    <row r="19" spans="1:8" ht="13" thickBot="1" x14ac:dyDescent="0.3">
      <c r="A19" s="224" t="s">
        <v>427</v>
      </c>
      <c r="B19" s="222">
        <v>0.05</v>
      </c>
    </row>
    <row r="20" spans="1:8" ht="13" thickBot="1" x14ac:dyDescent="0.3">
      <c r="A20" s="224" t="s">
        <v>428</v>
      </c>
      <c r="B20" s="222">
        <v>0.5</v>
      </c>
    </row>
    <row r="21" spans="1:8" x14ac:dyDescent="0.25">
      <c r="A21" s="224" t="s">
        <v>13</v>
      </c>
      <c r="B21" s="223">
        <f>B20+B19+B18</f>
        <v>1</v>
      </c>
      <c r="C21" s="127" t="str">
        <f>IF(B21=100%,"Ho has fet correctament, pots comprovar l'impacte a la pestanya de 'Resultats' ","Cal que el sumatori faci el 100%")</f>
        <v xml:space="preserve">Ho has fet correctament, pots comprovar l'impacte a la pestanya de 'Resultats' </v>
      </c>
    </row>
    <row r="22" spans="1:8" x14ac:dyDescent="0.25">
      <c r="A22" s="89"/>
    </row>
    <row r="24" spans="1:8" hidden="1" x14ac:dyDescent="0.25"/>
    <row r="25" spans="1:8" ht="26" hidden="1" x14ac:dyDescent="0.3">
      <c r="A25" s="140" t="s">
        <v>429</v>
      </c>
    </row>
    <row r="26" spans="1:8" ht="13" hidden="1" thickBot="1" x14ac:dyDescent="0.3"/>
    <row r="27" spans="1:8" ht="47.25" hidden="1" customHeight="1" thickBot="1" x14ac:dyDescent="0.3">
      <c r="A27" s="192" t="s">
        <v>430</v>
      </c>
      <c r="B27" s="193" t="s">
        <v>414</v>
      </c>
      <c r="C27" s="191" t="s">
        <v>408</v>
      </c>
      <c r="D27" s="190" t="s">
        <v>431</v>
      </c>
      <c r="E27" s="145" t="s">
        <v>409</v>
      </c>
      <c r="F27" s="145" t="s">
        <v>412</v>
      </c>
      <c r="G27" s="145" t="s">
        <v>413</v>
      </c>
      <c r="H27" s="189"/>
    </row>
    <row r="28" spans="1:8" ht="18.75" hidden="1" customHeight="1" thickBot="1" x14ac:dyDescent="0.3">
      <c r="A28" s="194" t="s">
        <v>432</v>
      </c>
      <c r="B28" s="198">
        <f>C28+D28+E28</f>
        <v>30042982.627212752</v>
      </c>
      <c r="C28" s="199">
        <f>VLOOKUP(B6,Veh·km!D4:BG164,33,FALSE)*1000</f>
        <v>14812073.29140782</v>
      </c>
      <c r="D28" s="199">
        <f>VLOOKUP(B6,Veh·km!D4:BG164,34,FALSE)*1000</f>
        <v>1772069.2917461589</v>
      </c>
      <c r="E28" s="200">
        <f>VLOOKUP(B6,Veh·km!D4:BG164,35,FALSE)*1000</f>
        <v>13458840.044058774</v>
      </c>
      <c r="F28" s="200">
        <f>VLOOKUP(B6,Veh·km!D4:BG164,36,FALSE)*1000</f>
        <v>515379.2064165831</v>
      </c>
      <c r="G28" s="200">
        <f>VLOOKUP(B6,Veh·km!D4:BG164,37,FALSE)*1000+VLOOKUP(B6,Veh·km!D4:BG164,38,FALSE)*1000</f>
        <v>260741.66633781948</v>
      </c>
    </row>
    <row r="29" spans="1:8" ht="18.75" hidden="1" customHeight="1" thickBot="1" x14ac:dyDescent="0.3">
      <c r="A29" s="194" t="s">
        <v>433</v>
      </c>
      <c r="B29" s="198">
        <f>B28/B35*100</f>
        <v>8.636820047054746</v>
      </c>
      <c r="C29" s="202"/>
      <c r="D29" s="202"/>
      <c r="E29" s="203"/>
      <c r="F29" s="203"/>
      <c r="G29" s="203"/>
    </row>
    <row r="30" spans="1:8" ht="18.75" hidden="1" customHeight="1" thickBot="1" x14ac:dyDescent="0.3">
      <c r="A30" s="194" t="s">
        <v>434</v>
      </c>
      <c r="B30" s="216">
        <f>B35</f>
        <v>347847731.72919989</v>
      </c>
      <c r="C30" s="202"/>
      <c r="D30" s="202"/>
      <c r="E30" s="203"/>
      <c r="F30" s="203"/>
      <c r="G30" s="203"/>
    </row>
    <row r="31" spans="1:8" ht="18.75" hidden="1" customHeight="1" thickBot="1" x14ac:dyDescent="0.3">
      <c r="A31" s="194" t="s">
        <v>435</v>
      </c>
      <c r="B31" s="198">
        <f t="shared" ref="B31:B33" si="0">C31+D31+E31+F31+G31+H31</f>
        <v>617548.69740569487</v>
      </c>
      <c r="C31" s="199">
        <f>VLOOKUP(B6,Veh·km!D4:BM163,57,FALSE)/1000</f>
        <v>4100.1285265872693</v>
      </c>
      <c r="D31" s="199">
        <f>VLOOKUP(B6,Veh·km!D4:BM163,58,FALSE)/1000</f>
        <v>233.64562311641569</v>
      </c>
      <c r="E31" s="200">
        <f>VLOOKUP(B6,Veh·km!D4:BM163,59,FALSE)/1000</f>
        <v>4116.1426224705774</v>
      </c>
      <c r="F31" s="200">
        <f>VLOOKUP(B6,Veh·km!D4:BM163,60,FALSE)/1000</f>
        <v>608.25705037015905</v>
      </c>
      <c r="G31" s="200">
        <f>VLOOKUP(B6,Veh·km!D4:BM163,60,FALSE)+VLOOKUP(B6,Veh·km!D4:BM163,61,FALSE)/1000</f>
        <v>608490.52358315047</v>
      </c>
    </row>
    <row r="32" spans="1:8" ht="18.75" hidden="1" customHeight="1" thickBot="1" x14ac:dyDescent="0.3">
      <c r="A32" s="194" t="s">
        <v>436</v>
      </c>
      <c r="B32" s="198">
        <f t="shared" si="0"/>
        <v>64920.623115980714</v>
      </c>
      <c r="C32" s="199">
        <f>VLOOKUP(B6,Veh·km!D4:BG164,45,FALSE)</f>
        <v>18955.997662567344</v>
      </c>
      <c r="D32" s="200">
        <f>VLOOKUP(B6,Veh·km!D4:BG164,46,FALSE)</f>
        <v>414.36886938664333</v>
      </c>
      <c r="E32" s="200">
        <f>VLOOKUP(B6,Veh·km!D4:BG164,47,FALSE)</f>
        <v>29976.425802130638</v>
      </c>
      <c r="F32" s="200">
        <f>VLOOKUP(B6,Veh·km!D4:BG164,48,FALSE)</f>
        <v>9720.2064467786804</v>
      </c>
      <c r="G32" s="200">
        <f>VLOOKUP(B6,Veh·km!D4:BG164,49,FALSE)+VLOOKUP(B6,Veh·km!D4:BG164,50,FALSE)</f>
        <v>5853.6243351174116</v>
      </c>
    </row>
    <row r="33" spans="1:7" ht="18.75" hidden="1" customHeight="1" thickBot="1" x14ac:dyDescent="0.3">
      <c r="A33" s="194" t="s">
        <v>437</v>
      </c>
      <c r="B33" s="198">
        <f t="shared" si="0"/>
        <v>5419.4399445285862</v>
      </c>
      <c r="C33" s="199">
        <f>VLOOKUP(B6,Veh·km!D4:BG164,51,FALSE)</f>
        <v>2088.9960698648824</v>
      </c>
      <c r="D33" s="200">
        <f>VLOOKUP(B6,Veh·km!D4:BG164,52,FALSE)</f>
        <v>250.48199438831949</v>
      </c>
      <c r="E33" s="200">
        <f>VLOOKUP(B6,Veh·km!D4:BG164,53,FALSE)</f>
        <v>2416.759043911487</v>
      </c>
      <c r="F33" s="200">
        <f>VLOOKUP(B6,Veh·km!D4:BG164,54,FALSE)</f>
        <v>421.40839777995939</v>
      </c>
      <c r="G33" s="200">
        <f>VLOOKUP(B6,Veh·km!D4:BG164,55,FALSE)+VLOOKUP(B6,Veh·km!D4:BG164,56,FALSE)</f>
        <v>241.79443858393785</v>
      </c>
    </row>
    <row r="34" spans="1:7" ht="18.75" hidden="1" customHeight="1" thickBot="1" x14ac:dyDescent="0.3">
      <c r="A34" s="194" t="s">
        <v>438</v>
      </c>
      <c r="B34" s="196">
        <f>10*LOG(B35/(B35-B28))</f>
        <v>0.39228792942550317</v>
      </c>
      <c r="F34" s="87"/>
      <c r="G34" s="197"/>
    </row>
    <row r="35" spans="1:7" ht="2.25" hidden="1" customHeight="1" x14ac:dyDescent="0.25">
      <c r="B35" s="87">
        <f>VLOOKUP(B6,Veh·km!D4:BG164,8,FALSE)*1000</f>
        <v>347847731.72919989</v>
      </c>
    </row>
    <row r="36" spans="1:7" hidden="1" x14ac:dyDescent="0.25">
      <c r="A36" s="127"/>
    </row>
  </sheetData>
  <sheetProtection algorithmName="SHA-512" hashValue="E31sT7RWLpycpn7HUuQlsiP+njoa3dwka+roii44zrJ+5rIn43YqWjM6NUhvH1LoSsPr2WQDEEdj5WCmTwPx7g==" saltValue="+/oAMmz0Xzn/NqO9WyS3Wg==" spinCount="100000" sheet="1" objects="1" scenarios="1"/>
  <mergeCells count="6">
    <mergeCell ref="V10:AC10"/>
    <mergeCell ref="A17:B17"/>
    <mergeCell ref="D11:E11"/>
    <mergeCell ref="A4:F4"/>
    <mergeCell ref="A1:B2"/>
    <mergeCell ref="D17:E1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F5538B-12FD-41C1-A2C9-C2289CD3E545}">
          <x14:formula1>
            <xm:f>Veh·km!$D$5:$D$67</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166D9-E53B-45AA-8A56-1573CF0073D0}">
  <dimension ref="A1:AC34"/>
  <sheetViews>
    <sheetView showGridLines="0" zoomScale="110" zoomScaleNormal="110" workbookViewId="0">
      <selection activeCell="A35" sqref="A35"/>
    </sheetView>
  </sheetViews>
  <sheetFormatPr baseColWidth="10" defaultColWidth="10.90625" defaultRowHeight="12.5" x14ac:dyDescent="0.25"/>
  <cols>
    <col min="1" max="1" width="73.453125" style="87" customWidth="1"/>
    <col min="2" max="2" width="26.36328125" style="87" customWidth="1"/>
    <col min="3" max="5" width="19.08984375" style="87" customWidth="1"/>
    <col min="6" max="7" width="19.08984375" style="141" customWidth="1"/>
    <col min="8" max="12" width="11.6328125" style="141" customWidth="1"/>
    <col min="13" max="29" width="10.90625" style="87" customWidth="1"/>
    <col min="30" max="16384" width="10.90625" style="87"/>
  </cols>
  <sheetData>
    <row r="1" spans="1:29" ht="20.149999999999999" customHeight="1" x14ac:dyDescent="0.25">
      <c r="A1" s="271" t="s">
        <v>399</v>
      </c>
      <c r="B1" s="271"/>
      <c r="E1" s="92" t="s">
        <v>400</v>
      </c>
      <c r="F1" s="87"/>
    </row>
    <row r="2" spans="1:29" ht="35.15" customHeight="1" x14ac:dyDescent="0.25">
      <c r="A2" s="271"/>
      <c r="B2" s="271"/>
      <c r="E2" s="92"/>
      <c r="F2" s="87"/>
    </row>
    <row r="3" spans="1:29" x14ac:dyDescent="0.25">
      <c r="A3" s="92" t="s">
        <v>401</v>
      </c>
    </row>
    <row r="4" spans="1:29" ht="64.5" customHeight="1" x14ac:dyDescent="0.25">
      <c r="A4" s="270" t="s">
        <v>616</v>
      </c>
      <c r="B4" s="270"/>
      <c r="C4" s="270"/>
      <c r="D4" s="270"/>
      <c r="E4" s="270"/>
      <c r="F4" s="270"/>
      <c r="G4" s="270"/>
    </row>
    <row r="5" spans="1:29" ht="5.4" customHeight="1" x14ac:dyDescent="0.25"/>
    <row r="6" spans="1:29" s="217" customFormat="1" ht="14.15" hidden="1" customHeight="1" thickBot="1" x14ac:dyDescent="0.3">
      <c r="A6" s="218" t="s">
        <v>402</v>
      </c>
      <c r="B6" s="225" t="s">
        <v>151</v>
      </c>
      <c r="F6" s="219"/>
      <c r="G6" s="219"/>
      <c r="H6" s="219"/>
      <c r="I6" s="219"/>
      <c r="J6" s="219"/>
      <c r="K6" s="219"/>
      <c r="L6" s="219"/>
    </row>
    <row r="7" spans="1:29" ht="5.15" hidden="1" customHeight="1" thickBot="1" x14ac:dyDescent="0.3">
      <c r="A7" s="220"/>
      <c r="B7" s="226"/>
    </row>
    <row r="8" spans="1:29" ht="14.15" hidden="1" customHeight="1" thickBot="1" x14ac:dyDescent="0.3">
      <c r="A8" s="218" t="s">
        <v>403</v>
      </c>
      <c r="B8" s="227">
        <v>1</v>
      </c>
      <c r="W8" s="141"/>
      <c r="X8" s="141"/>
      <c r="Y8" s="141"/>
      <c r="Z8" s="141"/>
      <c r="AA8" s="141"/>
      <c r="AB8" s="141"/>
      <c r="AC8" s="141"/>
    </row>
    <row r="9" spans="1:29" ht="5.15" hidden="1" customHeight="1" x14ac:dyDescent="0.25">
      <c r="A9" s="220"/>
      <c r="B9" s="228"/>
      <c r="W9" s="141"/>
      <c r="X9" s="141"/>
      <c r="Y9" s="141"/>
      <c r="Z9" s="141"/>
      <c r="AA9" s="141"/>
      <c r="AB9" s="141"/>
      <c r="AC9" s="141"/>
    </row>
    <row r="10" spans="1:29" ht="14.15" hidden="1" customHeight="1" thickBot="1" x14ac:dyDescent="0.3">
      <c r="A10" s="218" t="s">
        <v>404</v>
      </c>
      <c r="B10" s="228"/>
      <c r="V10" s="267" t="s">
        <v>405</v>
      </c>
      <c r="W10" s="267"/>
      <c r="X10" s="267"/>
      <c r="Y10" s="267"/>
      <c r="Z10" s="267"/>
      <c r="AA10" s="267"/>
      <c r="AB10" s="267"/>
      <c r="AC10" s="267"/>
    </row>
    <row r="11" spans="1:29" ht="14.15" hidden="1" customHeight="1" thickBot="1" x14ac:dyDescent="0.3">
      <c r="A11" s="221" t="s">
        <v>406</v>
      </c>
      <c r="B11" s="229">
        <v>0.123</v>
      </c>
      <c r="D11" s="269"/>
      <c r="E11" s="269"/>
      <c r="V11" s="195" t="s">
        <v>407</v>
      </c>
      <c r="W11" s="201" t="s">
        <v>408</v>
      </c>
      <c r="X11" s="201" t="s">
        <v>409</v>
      </c>
      <c r="Y11" s="201" t="s">
        <v>410</v>
      </c>
      <c r="Z11" s="201" t="s">
        <v>411</v>
      </c>
      <c r="AA11" s="201" t="s">
        <v>412</v>
      </c>
      <c r="AB11" s="201" t="s">
        <v>413</v>
      </c>
      <c r="AC11" s="201" t="s">
        <v>414</v>
      </c>
    </row>
    <row r="12" spans="1:29" ht="14.15" hidden="1" customHeight="1" thickBot="1" x14ac:dyDescent="0.3">
      <c r="A12" s="221" t="s">
        <v>415</v>
      </c>
      <c r="B12" s="229">
        <v>0.318</v>
      </c>
      <c r="V12" s="195" t="s">
        <v>416</v>
      </c>
      <c r="W12" s="142">
        <v>0.12257271420552272</v>
      </c>
      <c r="X12" s="142">
        <v>0.31843981215581607</v>
      </c>
      <c r="Y12" s="142">
        <v>7.8883761810591077E-2</v>
      </c>
      <c r="Z12" s="142">
        <v>8.4524762091680888E-2</v>
      </c>
      <c r="AA12" s="142">
        <v>0.28144629998467902</v>
      </c>
      <c r="AB12" s="142">
        <v>0.16066234056835982</v>
      </c>
      <c r="AC12" s="142">
        <v>0.13720600553014711</v>
      </c>
    </row>
    <row r="13" spans="1:29" ht="14.15" hidden="1" customHeight="1" thickBot="1" x14ac:dyDescent="0.3">
      <c r="A13" s="221" t="s">
        <v>439</v>
      </c>
      <c r="B13" s="229">
        <v>8.3000000000000004E-2</v>
      </c>
      <c r="V13" s="195" t="s">
        <v>418</v>
      </c>
      <c r="W13" s="142">
        <v>0.33918930549150733</v>
      </c>
      <c r="X13" s="142">
        <v>0.4032104125139363</v>
      </c>
      <c r="Y13" s="142">
        <v>0.3440727312678532</v>
      </c>
      <c r="Z13" s="142">
        <v>9.4413494975114615E-2</v>
      </c>
      <c r="AA13" s="142">
        <v>0.21372759307491956</v>
      </c>
      <c r="AB13" s="142">
        <v>0.24882524054598343</v>
      </c>
      <c r="AC13" s="142">
        <v>0.30152714133318648</v>
      </c>
    </row>
    <row r="14" spans="1:29" ht="14.15" hidden="1" customHeight="1" thickBot="1" x14ac:dyDescent="0.3">
      <c r="A14" s="221" t="s">
        <v>419</v>
      </c>
      <c r="B14" s="229">
        <v>0</v>
      </c>
      <c r="V14" s="195" t="s">
        <v>420</v>
      </c>
      <c r="W14" s="142">
        <v>0.52355640962731842</v>
      </c>
      <c r="X14" s="142">
        <v>0.26234839014831585</v>
      </c>
      <c r="Y14" s="142">
        <v>0.26507910349373764</v>
      </c>
      <c r="Z14" s="142">
        <v>0.80964818253644744</v>
      </c>
      <c r="AA14" s="142">
        <v>0.45150911597977633</v>
      </c>
      <c r="AB14" s="142">
        <v>0.43074513313940477</v>
      </c>
      <c r="AC14" s="142">
        <v>0.54159246208793699</v>
      </c>
    </row>
    <row r="15" spans="1:29" ht="14.15" hidden="1" customHeight="1" thickBot="1" x14ac:dyDescent="0.3">
      <c r="A15" s="221" t="s">
        <v>421</v>
      </c>
      <c r="B15" s="229">
        <v>0</v>
      </c>
      <c r="V15" s="195" t="s">
        <v>422</v>
      </c>
      <c r="W15" s="142">
        <v>9.5325198813605259E-3</v>
      </c>
      <c r="X15" s="142">
        <v>9.5104564343389975E-3</v>
      </c>
      <c r="Y15" s="142">
        <v>0</v>
      </c>
      <c r="Z15" s="142">
        <v>3.7743255280281412E-5</v>
      </c>
      <c r="AA15" s="142">
        <v>5.0354935907257037E-2</v>
      </c>
      <c r="AB15" s="142">
        <v>0.12553143880062653</v>
      </c>
      <c r="AC15" s="142">
        <v>8.2854500994378362E-3</v>
      </c>
    </row>
    <row r="16" spans="1:29" ht="5.15" hidden="1" customHeight="1" x14ac:dyDescent="0.25">
      <c r="A16" s="89"/>
      <c r="V16" s="195" t="s">
        <v>423</v>
      </c>
      <c r="W16" s="142">
        <v>5.1490507942910215E-3</v>
      </c>
      <c r="X16" s="142">
        <v>6.4909287475928244E-3</v>
      </c>
      <c r="Y16" s="142">
        <v>0.31196440342781806</v>
      </c>
      <c r="Z16" s="142">
        <v>1.1375817141476818E-2</v>
      </c>
      <c r="AA16" s="142">
        <v>2.9620550533680607E-3</v>
      </c>
      <c r="AB16" s="142">
        <v>3.4235846945625419E-2</v>
      </c>
      <c r="AC16" s="142">
        <v>1.1388940949291588E-2</v>
      </c>
    </row>
    <row r="17" spans="1:29" ht="3.9" hidden="1" customHeight="1" x14ac:dyDescent="0.25">
      <c r="A17" s="89"/>
    </row>
    <row r="18" spans="1:29" ht="62.4" hidden="1" customHeight="1" thickBot="1" x14ac:dyDescent="0.3">
      <c r="A18" s="268" t="s">
        <v>424</v>
      </c>
      <c r="B18" s="268"/>
    </row>
    <row r="19" spans="1:29" ht="13" hidden="1" thickBot="1" x14ac:dyDescent="0.3">
      <c r="A19" s="224" t="s">
        <v>426</v>
      </c>
      <c r="B19" s="222">
        <v>0.4</v>
      </c>
    </row>
    <row r="20" spans="1:29" ht="13" hidden="1" thickBot="1" x14ac:dyDescent="0.3">
      <c r="A20" s="224" t="s">
        <v>427</v>
      </c>
      <c r="B20" s="222">
        <v>0.05</v>
      </c>
    </row>
    <row r="21" spans="1:29" ht="13" hidden="1" thickBot="1" x14ac:dyDescent="0.3">
      <c r="A21" s="224" t="s">
        <v>428</v>
      </c>
      <c r="B21" s="222">
        <v>0.55000000000000004</v>
      </c>
    </row>
    <row r="22" spans="1:29" hidden="1" x14ac:dyDescent="0.25">
      <c r="A22" s="224" t="s">
        <v>13</v>
      </c>
      <c r="B22" s="223">
        <f>B21+B20+B19</f>
        <v>1</v>
      </c>
      <c r="C22" s="127" t="str">
        <f>IF(B22=100%,"Ho has fet correctament, pots comprovar l'impacte a la pestanya de 'Resultats' ","Cal que el sumatori faci el 100%")</f>
        <v xml:space="preserve">Ho has fet correctament, pots comprovar l'impacte a la pestanya de 'Resultats' </v>
      </c>
    </row>
    <row r="23" spans="1:29" s="141" customFormat="1" ht="23" x14ac:dyDescent="0.25">
      <c r="A23" s="230" t="s">
        <v>440</v>
      </c>
      <c r="B23" s="217"/>
      <c r="C23" s="217"/>
      <c r="D23" s="217"/>
      <c r="E23" s="217"/>
      <c r="F23" s="219"/>
      <c r="G23" s="219"/>
      <c r="M23" s="87"/>
      <c r="N23" s="87"/>
      <c r="O23" s="87"/>
      <c r="P23" s="87"/>
      <c r="Q23" s="87"/>
      <c r="R23" s="87"/>
      <c r="S23" s="87"/>
      <c r="T23" s="87"/>
      <c r="U23" s="87"/>
      <c r="V23" s="87"/>
      <c r="W23" s="87"/>
      <c r="X23" s="87"/>
      <c r="Y23" s="87"/>
      <c r="Z23" s="87"/>
      <c r="AA23" s="87"/>
      <c r="AB23" s="87"/>
      <c r="AC23" s="87"/>
    </row>
    <row r="24" spans="1:29" s="141" customFormat="1" ht="5.4" customHeight="1" thickBot="1" x14ac:dyDescent="0.3">
      <c r="A24" s="217"/>
      <c r="B24" s="217"/>
      <c r="C24" s="217"/>
      <c r="D24" s="217"/>
      <c r="E24" s="217"/>
      <c r="F24" s="219"/>
      <c r="G24" s="219"/>
      <c r="M24" s="87"/>
      <c r="N24" s="87"/>
      <c r="O24" s="87"/>
      <c r="P24" s="87"/>
      <c r="Q24" s="87"/>
      <c r="R24" s="87"/>
      <c r="S24" s="87"/>
      <c r="T24" s="87"/>
      <c r="U24" s="87"/>
      <c r="V24" s="87"/>
      <c r="W24" s="87"/>
      <c r="X24" s="87"/>
      <c r="Y24" s="87"/>
      <c r="Z24" s="87"/>
      <c r="AA24" s="87"/>
      <c r="AB24" s="87"/>
      <c r="AC24" s="87"/>
    </row>
    <row r="25" spans="1:29" s="141" customFormat="1" ht="47.25" customHeight="1" thickBot="1" x14ac:dyDescent="0.3">
      <c r="A25" s="218" t="s">
        <v>441</v>
      </c>
      <c r="B25" s="231" t="s">
        <v>414</v>
      </c>
      <c r="C25" s="232" t="s">
        <v>408</v>
      </c>
      <c r="D25" s="233" t="s">
        <v>431</v>
      </c>
      <c r="E25" s="234" t="s">
        <v>409</v>
      </c>
      <c r="F25" s="234" t="s">
        <v>412</v>
      </c>
      <c r="G25" s="234" t="s">
        <v>413</v>
      </c>
      <c r="H25" s="189"/>
      <c r="M25" s="87"/>
      <c r="N25" s="87"/>
      <c r="O25" s="87"/>
      <c r="P25" s="87"/>
      <c r="Q25" s="87"/>
      <c r="R25" s="87"/>
      <c r="S25" s="87"/>
      <c r="T25" s="87"/>
      <c r="U25" s="87"/>
      <c r="V25" s="87"/>
      <c r="W25" s="87"/>
      <c r="X25" s="87"/>
      <c r="Y25" s="87"/>
      <c r="Z25" s="87"/>
      <c r="AA25" s="87"/>
      <c r="AB25" s="87"/>
      <c r="AC25" s="87"/>
    </row>
    <row r="26" spans="1:29" s="141" customFormat="1" ht="18.75" customHeight="1" thickBot="1" x14ac:dyDescent="0.3">
      <c r="A26" s="235" t="s">
        <v>432</v>
      </c>
      <c r="B26" s="238">
        <f>C26+D26+E26</f>
        <v>30042982.627212752</v>
      </c>
      <c r="C26" s="245">
        <f>VLOOKUP('Entrada de dades'!B6,Veh·km!D4:BG164,33,FALSE)*1000</f>
        <v>14812073.29140782</v>
      </c>
      <c r="D26" s="245">
        <f>VLOOKUP('Entrada de dades'!B6,Veh·km!D4:BG164,34,FALSE)*1000</f>
        <v>1772069.2917461589</v>
      </c>
      <c r="E26" s="246">
        <f>VLOOKUP('Entrada de dades'!B6,Veh·km!D4:BG164,35,FALSE)*1000</f>
        <v>13458840.044058774</v>
      </c>
      <c r="F26" s="246">
        <f>VLOOKUP('Entrada de dades'!B6,Veh·km!D4:BG164,36,FALSE)*1000</f>
        <v>515379.2064165831</v>
      </c>
      <c r="G26" s="246">
        <f>VLOOKUP('Entrada de dades'!B6,Veh·km!D4:BG164,37,FALSE)*1000+VLOOKUP(B6,Veh·km!D4:BG164,38,FALSE)*1000</f>
        <v>214201.146678694</v>
      </c>
      <c r="M26" s="87"/>
      <c r="N26" s="87"/>
      <c r="O26" s="87"/>
      <c r="P26" s="87"/>
      <c r="Q26" s="87"/>
      <c r="R26" s="87"/>
      <c r="S26" s="87"/>
      <c r="T26" s="87"/>
      <c r="U26" s="87"/>
      <c r="V26" s="87"/>
      <c r="W26" s="87"/>
      <c r="X26" s="87"/>
      <c r="Y26" s="87"/>
      <c r="Z26" s="87"/>
      <c r="AA26" s="87"/>
      <c r="AB26" s="87"/>
      <c r="AC26" s="87"/>
    </row>
    <row r="27" spans="1:29" s="141" customFormat="1" ht="18.75" customHeight="1" thickBot="1" x14ac:dyDescent="0.3">
      <c r="A27" s="235" t="s">
        <v>433</v>
      </c>
      <c r="B27" s="236">
        <f>B26/B33*100</f>
        <v>8.636820047054746</v>
      </c>
      <c r="C27" s="237"/>
      <c r="D27" s="237"/>
      <c r="E27" s="123"/>
      <c r="F27" s="123"/>
      <c r="G27" s="123"/>
      <c r="M27" s="87"/>
      <c r="N27" s="87"/>
      <c r="O27" s="87"/>
      <c r="P27" s="87"/>
      <c r="Q27" s="87"/>
      <c r="R27" s="87"/>
      <c r="S27" s="87"/>
      <c r="T27" s="87"/>
      <c r="U27" s="87"/>
      <c r="V27" s="87"/>
      <c r="W27" s="87"/>
      <c r="X27" s="87"/>
      <c r="Y27" s="87"/>
      <c r="Z27" s="87"/>
      <c r="AA27" s="87"/>
      <c r="AB27" s="87"/>
      <c r="AC27" s="87"/>
    </row>
    <row r="28" spans="1:29" s="141" customFormat="1" ht="18.75" customHeight="1" thickBot="1" x14ac:dyDescent="0.3">
      <c r="A28" s="235" t="s">
        <v>434</v>
      </c>
      <c r="B28" s="238">
        <f>B33</f>
        <v>347847731.72919989</v>
      </c>
      <c r="C28" s="237"/>
      <c r="D28" s="237"/>
      <c r="E28" s="123"/>
      <c r="F28" s="123"/>
      <c r="G28" s="123"/>
      <c r="M28" s="87"/>
      <c r="N28" s="87"/>
      <c r="O28" s="87"/>
      <c r="P28" s="87"/>
      <c r="Q28" s="87"/>
      <c r="R28" s="87"/>
      <c r="S28" s="87"/>
      <c r="T28" s="87"/>
      <c r="U28" s="87"/>
      <c r="V28" s="87"/>
      <c r="W28" s="87"/>
      <c r="X28" s="87"/>
      <c r="Y28" s="87"/>
      <c r="Z28" s="87"/>
      <c r="AA28" s="87"/>
      <c r="AB28" s="87"/>
      <c r="AC28" s="87"/>
    </row>
    <row r="29" spans="1:29" s="141" customFormat="1" ht="18.75" customHeight="1" thickBot="1" x14ac:dyDescent="0.3">
      <c r="A29" s="235" t="s">
        <v>435</v>
      </c>
      <c r="B29" s="244">
        <f t="shared" ref="B29:B31" si="0">C29+D29+E29+F29+G29+H29</f>
        <v>9343.5164108231656</v>
      </c>
      <c r="C29" s="240">
        <f>VLOOKUP('Entrada de dades'!B6,Veh·km!D4:BM164,57,FALSE)/1000</f>
        <v>4100.1285265872693</v>
      </c>
      <c r="D29" s="240">
        <f>VLOOKUP('Entrada de dades'!B6,Veh·km!D4:BM163,58,FALSE)/1000</f>
        <v>233.64562311641569</v>
      </c>
      <c r="E29" s="241">
        <f>VLOOKUP('Entrada de dades'!B6,Veh·km!D4:BM163,59,FALSE)/1000</f>
        <v>4116.1426224705774</v>
      </c>
      <c r="F29" s="241">
        <f>VLOOKUP('Entrada de dades'!B6,Veh·km!D4:BM163,60,FALSE)/1000</f>
        <v>608.25705037015905</v>
      </c>
      <c r="G29" s="241">
        <f>VLOOKUP('Entrada de dades'!B6,Veh·km!D4:BM163,61,FALSE)/1000+VLOOKUP(B6,Veh·km!D4:BM163,62,FALSE)/1000</f>
        <v>285.34258827874368</v>
      </c>
      <c r="M29" s="87"/>
      <c r="N29" s="87"/>
      <c r="O29" s="87"/>
      <c r="P29" s="87"/>
      <c r="Q29" s="87"/>
      <c r="R29" s="87"/>
      <c r="S29" s="87"/>
      <c r="T29" s="87"/>
      <c r="U29" s="87"/>
      <c r="V29" s="87"/>
      <c r="W29" s="87"/>
      <c r="X29" s="87"/>
      <c r="Y29" s="87"/>
      <c r="Z29" s="87"/>
      <c r="AA29" s="87"/>
      <c r="AB29" s="87"/>
      <c r="AC29" s="87"/>
    </row>
    <row r="30" spans="1:29" s="141" customFormat="1" ht="18.75" customHeight="1" thickBot="1" x14ac:dyDescent="0.3">
      <c r="A30" s="235" t="s">
        <v>436</v>
      </c>
      <c r="B30" s="244">
        <f t="shared" si="0"/>
        <v>63875.793103685312</v>
      </c>
      <c r="C30" s="240">
        <f>VLOOKUP('Entrada de dades'!B6,Veh·km!D4:BG164,45,FALSE)</f>
        <v>18955.997662567344</v>
      </c>
      <c r="D30" s="241">
        <f>VLOOKUP('Entrada de dades'!B6,Veh·km!D4:BG164,46,FALSE)</f>
        <v>414.36886938664333</v>
      </c>
      <c r="E30" s="241">
        <f>VLOOKUP('Entrada de dades'!B6,Veh·km!D4:BG164,47,FALSE)</f>
        <v>29976.425802130638</v>
      </c>
      <c r="F30" s="241">
        <f>VLOOKUP('Entrada de dades'!B6,Veh·km!D4:BG164,48,FALSE)</f>
        <v>9720.2064467786804</v>
      </c>
      <c r="G30" s="241">
        <f>VLOOKUP('Entrada de dades'!B6,Veh·km!D4:BG164,49,FALSE)+VLOOKUP(B6,Veh·km!D4:BG164,50,FALSE)</f>
        <v>4808.794322822012</v>
      </c>
      <c r="M30" s="87"/>
      <c r="N30" s="87"/>
      <c r="O30" s="87"/>
      <c r="P30" s="87"/>
      <c r="Q30" s="87"/>
      <c r="R30" s="87"/>
      <c r="S30" s="87"/>
      <c r="T30" s="87"/>
      <c r="U30" s="87"/>
      <c r="V30" s="87"/>
      <c r="W30" s="87"/>
      <c r="X30" s="87"/>
      <c r="Y30" s="87"/>
      <c r="Z30" s="87"/>
      <c r="AA30" s="87"/>
      <c r="AB30" s="87"/>
      <c r="AC30" s="87"/>
    </row>
    <row r="31" spans="1:29" s="141" customFormat="1" ht="18.75" customHeight="1" thickBot="1" x14ac:dyDescent="0.3">
      <c r="A31" s="235" t="s">
        <v>437</v>
      </c>
      <c r="B31" s="244">
        <f t="shared" si="0"/>
        <v>5376.2813692980235</v>
      </c>
      <c r="C31" s="240">
        <f>VLOOKUP('Entrada de dades'!B6,Veh·km!D4:BG164,51,FALSE)</f>
        <v>2088.9960698648824</v>
      </c>
      <c r="D31" s="241">
        <f>VLOOKUP('Entrada de dades'!B6,Veh·km!D4:BG164,52,FALSE)</f>
        <v>250.48199438831949</v>
      </c>
      <c r="E31" s="241">
        <f>VLOOKUP('Entrada de dades'!B6,Veh·km!D4:BG164,53,FALSE)</f>
        <v>2416.759043911487</v>
      </c>
      <c r="F31" s="241">
        <f>VLOOKUP('Entrada de dades'!B6,Veh·km!D4:BG164,54,FALSE)</f>
        <v>421.40839777995939</v>
      </c>
      <c r="G31" s="241">
        <f>VLOOKUP('Entrada de dades'!B6,Veh·km!D4:BG164,55,FALSE)+VLOOKUP(B6,Veh·km!D4:BG164,56,FALSE)</f>
        <v>198.63586335337553</v>
      </c>
      <c r="M31" s="87"/>
      <c r="N31" s="87"/>
      <c r="O31" s="87"/>
      <c r="P31" s="87"/>
      <c r="Q31" s="87"/>
      <c r="R31" s="87"/>
      <c r="S31" s="87"/>
      <c r="T31" s="87"/>
      <c r="U31" s="87"/>
      <c r="V31" s="87"/>
      <c r="W31" s="87"/>
      <c r="X31" s="87"/>
      <c r="Y31" s="87"/>
      <c r="Z31" s="87"/>
      <c r="AA31" s="87"/>
      <c r="AB31" s="87"/>
      <c r="AC31" s="87"/>
    </row>
    <row r="32" spans="1:29" s="141" customFormat="1" ht="15.9" customHeight="1" thickBot="1" x14ac:dyDescent="0.3">
      <c r="A32" s="235" t="s">
        <v>442</v>
      </c>
      <c r="B32" s="243">
        <f>10*LOG(B33/(B33-B26))</f>
        <v>0.39228792942550317</v>
      </c>
      <c r="C32" s="217"/>
      <c r="D32" s="217"/>
      <c r="E32" s="217"/>
      <c r="F32" s="217"/>
      <c r="G32" s="239"/>
      <c r="M32" s="87"/>
      <c r="N32" s="87"/>
      <c r="O32" s="87"/>
      <c r="P32" s="87"/>
      <c r="Q32" s="87"/>
      <c r="R32" s="87"/>
      <c r="S32" s="87"/>
      <c r="T32" s="87"/>
      <c r="U32" s="87"/>
      <c r="V32" s="87"/>
      <c r="W32" s="87"/>
      <c r="X32" s="87"/>
      <c r="Y32" s="87"/>
      <c r="Z32" s="87"/>
      <c r="AA32" s="87"/>
      <c r="AB32" s="87"/>
      <c r="AC32" s="87"/>
    </row>
    <row r="33" spans="1:29" s="141" customFormat="1" ht="1.5" customHeight="1" x14ac:dyDescent="0.25">
      <c r="A33" s="217"/>
      <c r="B33" s="217">
        <f>VLOOKUP('Entrada de dades'!B6,Veh·km!D4:BG164,8,FALSE)*1000</f>
        <v>347847731.72919989</v>
      </c>
      <c r="C33" s="217"/>
      <c r="D33" s="217"/>
      <c r="E33" s="217"/>
      <c r="F33" s="219"/>
      <c r="G33" s="219"/>
      <c r="M33" s="87"/>
      <c r="N33" s="87"/>
      <c r="O33" s="87"/>
      <c r="P33" s="87"/>
      <c r="Q33" s="87"/>
      <c r="R33" s="87"/>
      <c r="S33" s="87"/>
      <c r="T33" s="87"/>
      <c r="U33" s="87"/>
      <c r="V33" s="87"/>
      <c r="W33" s="87"/>
      <c r="X33" s="87"/>
      <c r="Y33" s="87"/>
      <c r="Z33" s="87"/>
      <c r="AA33" s="87"/>
      <c r="AB33" s="87"/>
      <c r="AC33" s="87"/>
    </row>
    <row r="34" spans="1:29" s="141" customFormat="1" ht="15.9" customHeight="1" x14ac:dyDescent="0.25">
      <c r="A34" s="242"/>
      <c r="B34" s="217"/>
      <c r="C34" s="217"/>
      <c r="D34" s="217"/>
      <c r="E34" s="217"/>
      <c r="F34" s="219"/>
      <c r="G34" s="219"/>
      <c r="M34" s="87"/>
      <c r="N34" s="87"/>
      <c r="O34" s="87"/>
      <c r="P34" s="87"/>
      <c r="Q34" s="87"/>
      <c r="R34" s="87"/>
      <c r="S34" s="87"/>
      <c r="T34" s="87"/>
      <c r="U34" s="87"/>
      <c r="V34" s="87"/>
      <c r="W34" s="87"/>
      <c r="X34" s="87"/>
      <c r="Y34" s="87"/>
      <c r="Z34" s="87"/>
      <c r="AA34" s="87"/>
      <c r="AB34" s="87"/>
      <c r="AC34" s="87"/>
    </row>
  </sheetData>
  <sheetProtection algorithmName="SHA-512" hashValue="le0UxBX3XP3scABXDQEuClrFXre/uzGUQCzvk/0XkQ5IrARo/MlRZllY99MudfHEYLeVRxZxNJAyjut18IN/Vw==" saltValue="iBOPLbKDLC28TkW6V+76bw==" spinCount="100000" sheet="1" objects="1" scenarios="1"/>
  <mergeCells count="5">
    <mergeCell ref="A1:B2"/>
    <mergeCell ref="V10:AC10"/>
    <mergeCell ref="D11:E11"/>
    <mergeCell ref="A18:B18"/>
    <mergeCell ref="A4:G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3663EB7-479C-4D8C-B9E2-47C6E7C64B95}">
          <x14:formula1>
            <xm:f>Veh·km!$D$164:$D$164</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044B-7BA6-4B8A-9E3C-5C2741DA2713}">
  <dimension ref="A1:F21"/>
  <sheetViews>
    <sheetView workbookViewId="0">
      <selection activeCell="A17" sqref="A17"/>
    </sheetView>
  </sheetViews>
  <sheetFormatPr baseColWidth="10" defaultColWidth="11.453125" defaultRowHeight="14.5" x14ac:dyDescent="0.35"/>
  <cols>
    <col min="1" max="1" width="31.6328125" customWidth="1"/>
  </cols>
  <sheetData>
    <row r="1" spans="1:6" ht="15" thickBot="1" x14ac:dyDescent="0.4">
      <c r="A1" s="146" t="s">
        <v>443</v>
      </c>
      <c r="B1" s="147" t="s">
        <v>444</v>
      </c>
      <c r="C1" s="147" t="s">
        <v>445</v>
      </c>
      <c r="D1" s="147" t="s">
        <v>446</v>
      </c>
      <c r="E1" s="147" t="s">
        <v>447</v>
      </c>
    </row>
    <row r="2" spans="1:6" ht="15" thickBot="1" x14ac:dyDescent="0.4">
      <c r="A2" s="148" t="s">
        <v>448</v>
      </c>
      <c r="B2" s="149" t="s">
        <v>449</v>
      </c>
      <c r="C2" s="150">
        <v>0.83750000000000002</v>
      </c>
      <c r="D2" s="151">
        <v>9.69E-2</v>
      </c>
      <c r="E2" s="152">
        <v>2.87E-2</v>
      </c>
      <c r="F2" s="204">
        <v>248.0831</v>
      </c>
    </row>
    <row r="3" spans="1:6" ht="15" thickBot="1" x14ac:dyDescent="0.4">
      <c r="A3" s="148" t="s">
        <v>450</v>
      </c>
      <c r="B3" s="149" t="s">
        <v>451</v>
      </c>
      <c r="C3" s="153">
        <v>0.1741</v>
      </c>
      <c r="D3" s="154">
        <v>3.0700000000000002E-2</v>
      </c>
      <c r="E3" s="152">
        <v>2.87E-2</v>
      </c>
      <c r="F3" s="205">
        <v>259.80970000000002</v>
      </c>
    </row>
    <row r="4" spans="1:6" ht="15" thickBot="1" x14ac:dyDescent="0.4">
      <c r="A4" s="148" t="s">
        <v>452</v>
      </c>
      <c r="B4" s="149" t="s">
        <v>453</v>
      </c>
      <c r="C4" s="155">
        <v>0.51370000000000005</v>
      </c>
      <c r="D4" s="156">
        <v>4.2000000000000003E-2</v>
      </c>
      <c r="E4" s="152">
        <v>2.87E-2</v>
      </c>
      <c r="F4" s="206">
        <v>234.30940000000001</v>
      </c>
    </row>
    <row r="5" spans="1:6" ht="15" thickBot="1" x14ac:dyDescent="0.4">
      <c r="A5" s="148" t="s">
        <v>454</v>
      </c>
      <c r="B5" s="149" t="s">
        <v>455</v>
      </c>
      <c r="C5" s="157">
        <v>4.6199999999999998E-2</v>
      </c>
      <c r="D5" s="158">
        <v>3.0099999999999998E-2</v>
      </c>
      <c r="E5" s="152">
        <v>2.87E-2</v>
      </c>
      <c r="F5" s="157">
        <v>104.6735</v>
      </c>
    </row>
    <row r="6" spans="1:6" ht="15" thickBot="1" x14ac:dyDescent="0.4">
      <c r="A6" s="148" t="s">
        <v>456</v>
      </c>
      <c r="B6" s="149" t="s">
        <v>457</v>
      </c>
      <c r="C6" s="159">
        <v>1.4508000000000001</v>
      </c>
      <c r="D6" s="160">
        <v>0.1245</v>
      </c>
      <c r="E6" s="161">
        <v>4.07E-2</v>
      </c>
      <c r="F6" s="176">
        <v>285.87009999999998</v>
      </c>
    </row>
    <row r="7" spans="1:6" ht="15" thickBot="1" x14ac:dyDescent="0.4">
      <c r="A7" s="148" t="s">
        <v>458</v>
      </c>
      <c r="B7" s="149" t="s">
        <v>459</v>
      </c>
      <c r="C7" s="150">
        <v>0.79779999999999995</v>
      </c>
      <c r="D7" s="162">
        <v>5.4600000000000003E-2</v>
      </c>
      <c r="E7" s="161">
        <v>4.07E-2</v>
      </c>
      <c r="F7" s="185">
        <v>265.75400000000002</v>
      </c>
    </row>
    <row r="8" spans="1:6" ht="15" thickBot="1" x14ac:dyDescent="0.4">
      <c r="A8" s="148" t="s">
        <v>460</v>
      </c>
      <c r="B8" s="149" t="s">
        <v>461</v>
      </c>
      <c r="C8" s="163">
        <v>0.28610000000000002</v>
      </c>
      <c r="D8" s="164">
        <v>4.19E-2</v>
      </c>
      <c r="E8" s="161">
        <v>4.07E-2</v>
      </c>
      <c r="F8" s="207">
        <v>255.92740000000001</v>
      </c>
    </row>
    <row r="9" spans="1:6" ht="15" thickBot="1" x14ac:dyDescent="0.4">
      <c r="A9" s="148" t="s">
        <v>462</v>
      </c>
      <c r="B9" s="149" t="s">
        <v>463</v>
      </c>
      <c r="C9" s="165">
        <v>11.5783</v>
      </c>
      <c r="D9" s="166">
        <v>0.54239999999999999</v>
      </c>
      <c r="E9" s="167">
        <v>0.12239999999999999</v>
      </c>
      <c r="F9" s="208">
        <v>1112.6441</v>
      </c>
    </row>
    <row r="10" spans="1:6" ht="15" thickBot="1" x14ac:dyDescent="0.4">
      <c r="A10" s="148" t="s">
        <v>464</v>
      </c>
      <c r="B10" s="149" t="s">
        <v>465</v>
      </c>
      <c r="C10" s="168">
        <v>7.0769000000000002</v>
      </c>
      <c r="D10" s="169">
        <v>0.1799</v>
      </c>
      <c r="E10" s="170">
        <v>0.1226</v>
      </c>
      <c r="F10" s="209">
        <v>1003.1864</v>
      </c>
    </row>
    <row r="11" spans="1:6" ht="15" thickBot="1" x14ac:dyDescent="0.4">
      <c r="A11" s="148" t="s">
        <v>466</v>
      </c>
      <c r="B11" s="149" t="s">
        <v>467</v>
      </c>
      <c r="C11" s="171">
        <v>0.65529999999999999</v>
      </c>
      <c r="D11" s="172">
        <v>0.1295</v>
      </c>
      <c r="E11" s="167">
        <v>0.1226</v>
      </c>
      <c r="F11" s="210">
        <v>1011.2913</v>
      </c>
    </row>
    <row r="12" spans="1:6" ht="15" thickBot="1" x14ac:dyDescent="0.4">
      <c r="A12" s="148" t="s">
        <v>468</v>
      </c>
      <c r="B12" s="149" t="s">
        <v>469</v>
      </c>
      <c r="C12" s="170">
        <v>13.7515</v>
      </c>
      <c r="D12" s="170">
        <v>0.60519999999999996</v>
      </c>
      <c r="E12" s="173">
        <v>0.11409999999999999</v>
      </c>
      <c r="F12" s="170">
        <v>1260.4528</v>
      </c>
    </row>
    <row r="13" spans="1:6" ht="15" thickBot="1" x14ac:dyDescent="0.4">
      <c r="A13" s="148" t="s">
        <v>470</v>
      </c>
      <c r="B13" s="149" t="s">
        <v>471</v>
      </c>
      <c r="C13" s="174">
        <v>8.3763000000000005</v>
      </c>
      <c r="D13" s="175">
        <v>0.18110000000000001</v>
      </c>
      <c r="E13" s="173">
        <v>0.11409999999999999</v>
      </c>
      <c r="F13" s="166">
        <v>1140.6316999999999</v>
      </c>
    </row>
    <row r="14" spans="1:6" ht="15" thickBot="1" x14ac:dyDescent="0.4">
      <c r="A14" s="148" t="s">
        <v>472</v>
      </c>
      <c r="B14" s="149" t="s">
        <v>473</v>
      </c>
      <c r="C14" s="176">
        <v>0.70389999999999997</v>
      </c>
      <c r="D14" s="160">
        <v>0.122</v>
      </c>
      <c r="E14" s="173">
        <v>0.11409999999999999</v>
      </c>
      <c r="F14" s="211">
        <v>1152.9453000000001</v>
      </c>
    </row>
    <row r="15" spans="1:6" ht="15" thickBot="1" x14ac:dyDescent="0.4">
      <c r="A15" s="148" t="s">
        <v>474</v>
      </c>
      <c r="B15" s="149" t="s">
        <v>475</v>
      </c>
      <c r="C15" s="177">
        <v>7.0400000000000004E-2</v>
      </c>
      <c r="D15" s="170">
        <v>0.1203</v>
      </c>
      <c r="E15" s="178">
        <v>0.1103</v>
      </c>
      <c r="F15" s="149"/>
    </row>
    <row r="16" spans="1:6" ht="15" thickBot="1" x14ac:dyDescent="0.4">
      <c r="A16" s="148" t="s">
        <v>476</v>
      </c>
      <c r="B16" s="149" t="s">
        <v>477</v>
      </c>
      <c r="C16" s="179">
        <v>0.11799999999999999</v>
      </c>
      <c r="D16" s="160">
        <v>0.1234</v>
      </c>
      <c r="E16" s="157">
        <v>1.29E-2</v>
      </c>
      <c r="F16" s="212">
        <v>124.41330000000001</v>
      </c>
    </row>
    <row r="17" spans="1:6" ht="15" thickBot="1" x14ac:dyDescent="0.4">
      <c r="A17" s="148" t="s">
        <v>478</v>
      </c>
      <c r="B17" s="149" t="s">
        <v>479</v>
      </c>
      <c r="C17" s="180">
        <v>0.17</v>
      </c>
      <c r="D17" s="181">
        <v>3.8899999999999997E-2</v>
      </c>
      <c r="E17" s="157">
        <v>1.29E-2</v>
      </c>
      <c r="F17" s="213">
        <v>113.2597</v>
      </c>
    </row>
    <row r="18" spans="1:6" ht="15" thickBot="1" x14ac:dyDescent="0.4">
      <c r="A18" s="148" t="s">
        <v>480</v>
      </c>
      <c r="B18" s="149" t="s">
        <v>481</v>
      </c>
      <c r="C18" s="182">
        <v>0.1072</v>
      </c>
      <c r="D18" s="183">
        <v>2.2800000000000001E-2</v>
      </c>
      <c r="E18" s="157">
        <v>1.29E-2</v>
      </c>
      <c r="F18" s="182">
        <v>131.9034</v>
      </c>
    </row>
    <row r="19" spans="1:6" ht="15" thickBot="1" x14ac:dyDescent="0.4">
      <c r="A19" s="148" t="s">
        <v>482</v>
      </c>
      <c r="B19" s="149" t="s">
        <v>483</v>
      </c>
      <c r="C19" s="184">
        <v>0.16259999999999999</v>
      </c>
      <c r="D19" s="185">
        <v>6.2899999999999998E-2</v>
      </c>
      <c r="E19" s="157">
        <v>1.29E-2</v>
      </c>
    </row>
    <row r="20" spans="1:6" ht="15" thickBot="1" x14ac:dyDescent="0.4">
      <c r="A20" s="148" t="s">
        <v>484</v>
      </c>
      <c r="B20" s="149" t="s">
        <v>485</v>
      </c>
      <c r="C20" s="186">
        <v>0.12659999999999999</v>
      </c>
      <c r="D20" s="187">
        <v>2.6599999999999999E-2</v>
      </c>
      <c r="E20" s="157">
        <v>1.29E-2</v>
      </c>
    </row>
    <row r="21" spans="1:6" ht="15" thickBot="1" x14ac:dyDescent="0.4">
      <c r="A21" s="148" t="s">
        <v>486</v>
      </c>
      <c r="B21" s="149" t="s">
        <v>487</v>
      </c>
      <c r="C21" s="188">
        <v>5.0700000000000002E-2</v>
      </c>
      <c r="D21" s="157">
        <v>1.89E-2</v>
      </c>
      <c r="E21" s="157">
        <v>1.29E-2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56BE6-E0FC-4ED8-8142-3D9F7E92C6C8}">
  <dimension ref="A1:CB241"/>
  <sheetViews>
    <sheetView zoomScaleNormal="100" workbookViewId="0">
      <pane xSplit="4" ySplit="4" topLeftCell="E24" activePane="bottomRight" state="frozen"/>
      <selection pane="topRight" activeCell="B28" sqref="B28"/>
      <selection pane="bottomLeft" activeCell="B28" sqref="B28"/>
      <selection pane="bottomRight" activeCell="D69" sqref="D69"/>
    </sheetView>
  </sheetViews>
  <sheetFormatPr baseColWidth="10" defaultColWidth="10.90625" defaultRowHeight="10" x14ac:dyDescent="0.2"/>
  <cols>
    <col min="1" max="1" width="7" style="92" bestFit="1" customWidth="1"/>
    <col min="2" max="3" width="10.90625" style="92"/>
    <col min="4" max="4" width="19.453125" style="92" bestFit="1" customWidth="1"/>
    <col min="5" max="53" width="10.90625" style="92"/>
    <col min="54" max="59" width="10.36328125" style="92" customWidth="1"/>
    <col min="60" max="74" width="10.90625" style="92"/>
    <col min="75" max="75" width="26" style="92" customWidth="1"/>
    <col min="76" max="16384" width="10.90625" style="92"/>
  </cols>
  <sheetData>
    <row r="1" spans="1:65" x14ac:dyDescent="0.2">
      <c r="D1" s="92">
        <v>1</v>
      </c>
      <c r="E1" s="92">
        <v>2</v>
      </c>
      <c r="F1" s="92">
        <v>3</v>
      </c>
      <c r="G1" s="92">
        <v>4</v>
      </c>
      <c r="H1" s="92">
        <v>5</v>
      </c>
      <c r="I1" s="92">
        <v>6</v>
      </c>
      <c r="J1" s="92">
        <v>7</v>
      </c>
      <c r="K1" s="92">
        <v>8</v>
      </c>
      <c r="L1" s="92">
        <v>9</v>
      </c>
      <c r="M1" s="92">
        <v>10</v>
      </c>
      <c r="N1" s="92">
        <v>11</v>
      </c>
      <c r="O1" s="92">
        <v>12</v>
      </c>
      <c r="P1" s="92">
        <v>13</v>
      </c>
      <c r="Q1" s="92">
        <v>14</v>
      </c>
      <c r="R1" s="92">
        <v>15</v>
      </c>
      <c r="S1" s="92">
        <v>16</v>
      </c>
      <c r="T1" s="92">
        <v>17</v>
      </c>
      <c r="U1" s="92">
        <v>18</v>
      </c>
      <c r="V1" s="92">
        <v>19</v>
      </c>
      <c r="W1" s="92">
        <v>20</v>
      </c>
      <c r="X1" s="92">
        <v>21</v>
      </c>
      <c r="Y1" s="92">
        <v>22</v>
      </c>
      <c r="Z1" s="92">
        <v>23</v>
      </c>
      <c r="AA1" s="92">
        <v>24</v>
      </c>
      <c r="AB1" s="92">
        <v>25</v>
      </c>
      <c r="AC1" s="92">
        <v>26</v>
      </c>
      <c r="AD1" s="92">
        <v>27</v>
      </c>
      <c r="AE1" s="92">
        <v>28</v>
      </c>
      <c r="AF1" s="92">
        <v>29</v>
      </c>
      <c r="AG1" s="92">
        <v>30</v>
      </c>
      <c r="AH1" s="92">
        <v>31</v>
      </c>
      <c r="AI1" s="92">
        <v>32</v>
      </c>
      <c r="AJ1" s="92">
        <v>33</v>
      </c>
      <c r="AK1" s="92">
        <v>34</v>
      </c>
      <c r="AL1" s="92">
        <v>35</v>
      </c>
      <c r="AM1" s="92">
        <v>36</v>
      </c>
      <c r="AN1" s="92">
        <v>37</v>
      </c>
      <c r="AO1" s="92">
        <v>38</v>
      </c>
      <c r="AP1" s="92">
        <v>39</v>
      </c>
      <c r="AQ1" s="92">
        <v>40</v>
      </c>
      <c r="AR1" s="92">
        <v>41</v>
      </c>
      <c r="AS1" s="92">
        <v>42</v>
      </c>
      <c r="AT1" s="92">
        <v>43</v>
      </c>
      <c r="AU1" s="92">
        <v>44</v>
      </c>
      <c r="AV1" s="92">
        <v>45</v>
      </c>
      <c r="AW1" s="92">
        <v>46</v>
      </c>
      <c r="AX1" s="92">
        <v>47</v>
      </c>
      <c r="AY1" s="92">
        <v>48</v>
      </c>
      <c r="AZ1" s="92">
        <v>49</v>
      </c>
      <c r="BA1" s="92">
        <v>50</v>
      </c>
      <c r="BB1" s="92">
        <v>51</v>
      </c>
      <c r="BC1" s="92">
        <v>52</v>
      </c>
      <c r="BD1" s="92">
        <v>53</v>
      </c>
      <c r="BE1" s="92">
        <v>54</v>
      </c>
      <c r="BF1" s="92">
        <v>55</v>
      </c>
      <c r="BG1" s="92">
        <v>56</v>
      </c>
      <c r="BH1" s="92">
        <v>57</v>
      </c>
      <c r="BI1" s="92">
        <v>58</v>
      </c>
      <c r="BJ1" s="92">
        <v>59</v>
      </c>
      <c r="BK1" s="92">
        <v>60</v>
      </c>
      <c r="BL1" s="92">
        <v>61</v>
      </c>
      <c r="BM1" s="92">
        <v>62</v>
      </c>
    </row>
    <row r="2" spans="1:65" x14ac:dyDescent="0.2">
      <c r="L2" s="93" t="str">
        <f>'1b.In_XUrbana'!I1</f>
        <v>Cotxes</v>
      </c>
      <c r="M2" s="97" t="str">
        <f>'1b.In_XUrbana'!J1</f>
        <v>Motos</v>
      </c>
      <c r="N2" s="101" t="str">
        <f>'1b.In_XUrbana'!K1</f>
        <v>Furgonetes</v>
      </c>
      <c r="O2" s="105" t="str">
        <f>'1b.In_XUrbana'!L1</f>
        <v>Camions</v>
      </c>
      <c r="P2" s="109" t="str">
        <f>'1b.In_XUrbana'!M1</f>
        <v>Autobusos</v>
      </c>
      <c r="Q2" s="113" t="str">
        <f>'1b.In_XUrbana'!N1</f>
        <v>Autocars</v>
      </c>
      <c r="R2" s="119" t="str">
        <f>L2</f>
        <v>Cotxes</v>
      </c>
      <c r="S2" s="119" t="str">
        <f t="shared" ref="S2:W2" si="0">M2</f>
        <v>Motos</v>
      </c>
      <c r="T2" s="119" t="str">
        <f t="shared" si="0"/>
        <v>Furgonetes</v>
      </c>
      <c r="U2" s="119" t="str">
        <f t="shared" si="0"/>
        <v>Camions</v>
      </c>
      <c r="V2" s="119" t="str">
        <f t="shared" si="0"/>
        <v>Autobusos</v>
      </c>
      <c r="W2" s="119" t="str">
        <f t="shared" si="0"/>
        <v>Autocars</v>
      </c>
      <c r="X2" s="120" t="str">
        <f>R2</f>
        <v>Cotxes</v>
      </c>
      <c r="Y2" s="120" t="str">
        <f t="shared" ref="Y2:AC2" si="1">S2</f>
        <v>Motos</v>
      </c>
      <c r="Z2" s="120" t="str">
        <f t="shared" si="1"/>
        <v>Furgonetes</v>
      </c>
      <c r="AA2" s="120" t="str">
        <f t="shared" si="1"/>
        <v>Camions</v>
      </c>
      <c r="AB2" s="120" t="str">
        <f t="shared" si="1"/>
        <v>Autobusos</v>
      </c>
      <c r="AC2" s="120" t="str">
        <f t="shared" si="1"/>
        <v>Autocars</v>
      </c>
      <c r="AD2" s="120" t="str">
        <f t="shared" ref="AD2:AJ2" si="2">X2</f>
        <v>Cotxes</v>
      </c>
      <c r="AE2" s="120" t="str">
        <f t="shared" si="2"/>
        <v>Motos</v>
      </c>
      <c r="AF2" s="120" t="str">
        <f t="shared" si="2"/>
        <v>Furgonetes</v>
      </c>
      <c r="AG2" s="120" t="str">
        <f t="shared" si="2"/>
        <v>Camions</v>
      </c>
      <c r="AH2" s="120" t="str">
        <f t="shared" si="2"/>
        <v>Autobusos</v>
      </c>
      <c r="AI2" s="120" t="str">
        <f t="shared" si="2"/>
        <v>Autocars</v>
      </c>
      <c r="AJ2" s="120" t="str">
        <f t="shared" si="2"/>
        <v>Cotxes</v>
      </c>
      <c r="AK2" s="120" t="str">
        <f t="shared" ref="AK2" si="3">AE2</f>
        <v>Motos</v>
      </c>
      <c r="AL2" s="120" t="str">
        <f t="shared" ref="AL2" si="4">AF2</f>
        <v>Furgonetes</v>
      </c>
      <c r="AM2" s="120" t="str">
        <f t="shared" ref="AM2" si="5">AG2</f>
        <v>Camions</v>
      </c>
      <c r="AN2" s="120" t="str">
        <f t="shared" ref="AN2" si="6">AH2</f>
        <v>Autobusos</v>
      </c>
      <c r="AO2" s="120" t="str">
        <f t="shared" ref="AO2" si="7">AI2</f>
        <v>Autocars</v>
      </c>
      <c r="AP2" s="120" t="str">
        <f>AJ2</f>
        <v>Cotxes</v>
      </c>
      <c r="AQ2" s="120" t="str">
        <f t="shared" ref="AQ2" si="8">AK2</f>
        <v>Motos</v>
      </c>
      <c r="AR2" s="120" t="str">
        <f t="shared" ref="AR2" si="9">AL2</f>
        <v>Furgonetes</v>
      </c>
      <c r="AS2" s="120" t="str">
        <f t="shared" ref="AS2" si="10">AM2</f>
        <v>Camions</v>
      </c>
      <c r="AT2" s="120" t="str">
        <f t="shared" ref="AT2" si="11">AN2</f>
        <v>Autobusos</v>
      </c>
      <c r="AU2" s="120" t="str">
        <f t="shared" ref="AU2" si="12">AO2</f>
        <v>Autocars</v>
      </c>
      <c r="AV2" s="120" t="str">
        <f>AP2</f>
        <v>Cotxes</v>
      </c>
      <c r="AW2" s="120" t="str">
        <f t="shared" ref="AW2" si="13">AQ2</f>
        <v>Motos</v>
      </c>
      <c r="AX2" s="120" t="str">
        <f t="shared" ref="AX2" si="14">AR2</f>
        <v>Furgonetes</v>
      </c>
      <c r="AY2" s="120" t="str">
        <f t="shared" ref="AY2" si="15">AS2</f>
        <v>Camions</v>
      </c>
      <c r="AZ2" s="120" t="str">
        <f t="shared" ref="AZ2" si="16">AT2</f>
        <v>Autobusos</v>
      </c>
      <c r="BA2" s="120" t="str">
        <f t="shared" ref="BA2" si="17">AU2</f>
        <v>Autocars</v>
      </c>
      <c r="BB2" s="120" t="str">
        <f>AV2</f>
        <v>Cotxes</v>
      </c>
      <c r="BC2" s="120" t="str">
        <f t="shared" ref="BC2" si="18">AW2</f>
        <v>Motos</v>
      </c>
      <c r="BD2" s="120" t="str">
        <f t="shared" ref="BD2" si="19">AX2</f>
        <v>Furgonetes</v>
      </c>
      <c r="BE2" s="120" t="str">
        <f t="shared" ref="BE2" si="20">AY2</f>
        <v>Camions</v>
      </c>
      <c r="BF2" s="120" t="str">
        <f t="shared" ref="BF2" si="21">AZ2</f>
        <v>Autobusos</v>
      </c>
      <c r="BG2" s="120" t="str">
        <f t="shared" ref="BG2" si="22">BA2</f>
        <v>Autocars</v>
      </c>
      <c r="BH2" s="120" t="str">
        <f>BB2</f>
        <v>Cotxes</v>
      </c>
      <c r="BI2" s="120" t="str">
        <f t="shared" ref="BI2" si="23">BC2</f>
        <v>Motos</v>
      </c>
      <c r="BJ2" s="120" t="str">
        <f t="shared" ref="BJ2" si="24">BD2</f>
        <v>Furgonetes</v>
      </c>
      <c r="BK2" s="120" t="str">
        <f t="shared" ref="BK2" si="25">BE2</f>
        <v>Camions</v>
      </c>
      <c r="BL2" s="120" t="str">
        <f t="shared" ref="BL2" si="26">BF2</f>
        <v>Autobusos</v>
      </c>
      <c r="BM2" s="120" t="str">
        <f t="shared" ref="BM2" si="27">BG2</f>
        <v>Autocars</v>
      </c>
    </row>
    <row r="3" spans="1:65" x14ac:dyDescent="0.2">
      <c r="L3" s="94">
        <f>'1b.In_XUrbana'!I3</f>
        <v>0.53931722068185883</v>
      </c>
      <c r="M3" s="98">
        <f>'1b.In_XUrbana'!J3</f>
        <v>9.5697635011235793E-2</v>
      </c>
      <c r="N3" s="102">
        <f>'1b.In_XUrbana'!K3</f>
        <v>0.33329591452594254</v>
      </c>
      <c r="O3" s="106">
        <f>'1b.In_XUrbana'!L3</f>
        <v>2.3757023341315634E-2</v>
      </c>
      <c r="P3" s="110">
        <f>'1b.In_XUrbana'!M3</f>
        <v>5.9079448753150627E-3</v>
      </c>
      <c r="Q3" s="114">
        <f>'1b.In_XUrbana'!N3</f>
        <v>2.0242615643321746E-3</v>
      </c>
      <c r="R3" s="92" t="s">
        <v>488</v>
      </c>
      <c r="X3" s="92" t="s">
        <v>489</v>
      </c>
      <c r="AD3" s="92" t="s">
        <v>490</v>
      </c>
      <c r="AJ3" s="92" t="s">
        <v>491</v>
      </c>
      <c r="AP3" s="92" t="s">
        <v>492</v>
      </c>
      <c r="AV3" s="92" t="s">
        <v>493</v>
      </c>
      <c r="BB3" s="92" t="s">
        <v>494</v>
      </c>
      <c r="BH3" s="92" t="s">
        <v>495</v>
      </c>
    </row>
    <row r="4" spans="1:65" ht="40" x14ac:dyDescent="0.35">
      <c r="A4" t="s">
        <v>532</v>
      </c>
      <c r="B4" s="247" t="s">
        <v>533</v>
      </c>
      <c r="C4" s="248" t="s">
        <v>534</v>
      </c>
      <c r="D4" s="247" t="s">
        <v>21</v>
      </c>
      <c r="E4" s="63" t="s">
        <v>390</v>
      </c>
      <c r="F4" s="63" t="s">
        <v>49</v>
      </c>
      <c r="G4" s="63" t="s">
        <v>50</v>
      </c>
      <c r="H4" s="63" t="s">
        <v>496</v>
      </c>
      <c r="I4" s="63" t="s">
        <v>497</v>
      </c>
      <c r="J4" s="63"/>
      <c r="K4" s="63" t="s">
        <v>498</v>
      </c>
      <c r="L4" s="95" t="s">
        <v>498</v>
      </c>
      <c r="M4" s="99" t="s">
        <v>498</v>
      </c>
      <c r="N4" s="103" t="s">
        <v>498</v>
      </c>
      <c r="O4" s="107" t="s">
        <v>498</v>
      </c>
      <c r="P4" s="111" t="s">
        <v>498</v>
      </c>
      <c r="Q4" s="115" t="s">
        <v>498</v>
      </c>
      <c r="R4" s="95" t="s">
        <v>498</v>
      </c>
      <c r="S4" s="99" t="s">
        <v>498</v>
      </c>
      <c r="T4" s="103" t="s">
        <v>498</v>
      </c>
      <c r="U4" s="107" t="s">
        <v>498</v>
      </c>
      <c r="V4" s="111" t="s">
        <v>498</v>
      </c>
      <c r="W4" s="115" t="s">
        <v>498</v>
      </c>
      <c r="X4" s="95" t="s">
        <v>498</v>
      </c>
      <c r="Y4" s="99" t="s">
        <v>498</v>
      </c>
      <c r="Z4" s="103" t="s">
        <v>498</v>
      </c>
      <c r="AA4" s="107" t="s">
        <v>498</v>
      </c>
      <c r="AB4" s="111" t="s">
        <v>498</v>
      </c>
      <c r="AC4" s="115" t="s">
        <v>498</v>
      </c>
      <c r="AD4" s="95" t="s">
        <v>498</v>
      </c>
      <c r="AE4" s="99" t="s">
        <v>498</v>
      </c>
      <c r="AF4" s="103" t="s">
        <v>498</v>
      </c>
      <c r="AG4" s="107" t="s">
        <v>498</v>
      </c>
      <c r="AH4" s="111" t="s">
        <v>498</v>
      </c>
      <c r="AI4" s="115" t="s">
        <v>498</v>
      </c>
      <c r="AJ4" s="95" t="s">
        <v>498</v>
      </c>
      <c r="AK4" s="99" t="s">
        <v>498</v>
      </c>
      <c r="AL4" s="103" t="s">
        <v>498</v>
      </c>
      <c r="AM4" s="107" t="s">
        <v>498</v>
      </c>
      <c r="AN4" s="111" t="s">
        <v>498</v>
      </c>
      <c r="AO4" s="115" t="s">
        <v>498</v>
      </c>
      <c r="AP4" s="95" t="s">
        <v>498</v>
      </c>
      <c r="AQ4" s="99" t="s">
        <v>498</v>
      </c>
      <c r="AR4" s="103" t="s">
        <v>498</v>
      </c>
      <c r="AS4" s="107" t="s">
        <v>498</v>
      </c>
      <c r="AT4" s="111" t="s">
        <v>498</v>
      </c>
      <c r="AU4" s="115" t="s">
        <v>498</v>
      </c>
      <c r="AV4" s="95" t="s">
        <v>499</v>
      </c>
      <c r="AW4" s="95" t="s">
        <v>499</v>
      </c>
      <c r="AX4" s="95" t="s">
        <v>499</v>
      </c>
      <c r="AY4" s="95" t="s">
        <v>499</v>
      </c>
      <c r="AZ4" s="95" t="s">
        <v>499</v>
      </c>
      <c r="BA4" s="95" t="s">
        <v>499</v>
      </c>
      <c r="BB4" s="95" t="s">
        <v>500</v>
      </c>
      <c r="BC4" s="95" t="s">
        <v>500</v>
      </c>
      <c r="BD4" s="95" t="s">
        <v>500</v>
      </c>
      <c r="BE4" s="95" t="s">
        <v>500</v>
      </c>
      <c r="BF4" s="95" t="s">
        <v>500</v>
      </c>
      <c r="BG4" s="95" t="s">
        <v>500</v>
      </c>
      <c r="BH4" s="95" t="s">
        <v>501</v>
      </c>
      <c r="BI4" s="95" t="s">
        <v>501</v>
      </c>
      <c r="BJ4" s="95" t="s">
        <v>501</v>
      </c>
      <c r="BK4" s="95" t="s">
        <v>501</v>
      </c>
      <c r="BL4" s="95" t="s">
        <v>501</v>
      </c>
      <c r="BM4" s="95" t="s">
        <v>501</v>
      </c>
    </row>
    <row r="5" spans="1:65" ht="10.5" x14ac:dyDescent="0.25">
      <c r="A5" s="66">
        <v>223006</v>
      </c>
      <c r="B5" s="66" t="s">
        <v>535</v>
      </c>
      <c r="C5" s="66" t="s">
        <v>71</v>
      </c>
      <c r="D5" s="67" t="s">
        <v>69</v>
      </c>
      <c r="E5" s="143"/>
      <c r="F5" s="143"/>
      <c r="G5" s="143"/>
      <c r="H5" s="91"/>
      <c r="I5" s="91"/>
      <c r="K5" s="91">
        <v>380427.35477834812</v>
      </c>
      <c r="L5" s="96">
        <v>228605.65064420286</v>
      </c>
      <c r="M5" s="100">
        <v>40530.207531667875</v>
      </c>
      <c r="N5" s="104">
        <v>99003.254459771255</v>
      </c>
      <c r="O5" s="108">
        <v>4840.1774560658459</v>
      </c>
      <c r="P5" s="112">
        <v>5834.381941540596</v>
      </c>
      <c r="Q5" s="116">
        <v>1613.6827450997093</v>
      </c>
      <c r="R5" s="124">
        <f>L5*'Entrada de dades'!$B$8*'Entrada de dades'!$B$11</f>
        <v>21370.056222220082</v>
      </c>
      <c r="S5" s="124">
        <f>M5*'Entrada de dades'!$B$8*'Entrada de dades'!$B$13</f>
        <v>2556.6454910976099</v>
      </c>
      <c r="T5" s="124">
        <f>N5*'Entrada de dades'!$B$8*'Entrada de dades'!$B$12</f>
        <v>23927.106537837521</v>
      </c>
      <c r="U5" s="124">
        <f>O5*'Entrada de dades'!$B$8*'Entrada de dades'!$B$14</f>
        <v>1033.6682975174222</v>
      </c>
      <c r="V5" s="124">
        <f>P5*'Entrada de dades'!$B$8*'Entrada de dades'!$B$15</f>
        <v>713.89497436690738</v>
      </c>
      <c r="W5" s="124">
        <f>Q5*'Entrada de dades'!$B$8*'Entrada de dades'!$B$15</f>
        <v>197.45022069040047</v>
      </c>
      <c r="X5" s="124">
        <f>L5*(1-'Entrada de dades'!$B$8)*'Entrada de dades'!$B$11*('Entrada de dades'!$B$8/(1*(1/'Entrada de dades'!$B$8)))</f>
        <v>3897.898254932943</v>
      </c>
      <c r="Y5" s="124">
        <f>M5*(1-'Entrada de dades'!$B$8)*'Entrada de dades'!$B$13*('Entrada de dades'!$B$8/(1*(1/'Entrada de dades'!$B$8)))</f>
        <v>466.33213757620399</v>
      </c>
      <c r="Z5" s="124">
        <f>N5*(1-'Entrada de dades'!$B$8)*'Entrada de dades'!$B$12*('Entrada de dades'!$B$8/(1*(1/'Entrada de dades'!$B$8)))</f>
        <v>4364.3042325015631</v>
      </c>
      <c r="AA5" s="124">
        <f>O5*(1-'Entrada de dades'!$B$8)*'Entrada de dades'!$B$14*('Entrada de dades'!$B$8/(1*(1/'Entrada de dades'!$B$8)))</f>
        <v>188.54109746717782</v>
      </c>
      <c r="AB5" s="124">
        <f>P5*(1-'Entrada de dades'!$B$8)*'Entrada de dades'!$B$15*('Entrada de dades'!$B$8/(1*(1/'Entrada de dades'!$B$8)))</f>
        <v>130.2144433245239</v>
      </c>
      <c r="AC5" s="124">
        <f>Q5*(1-'Entrada de dades'!$B$8)*'Entrada de dades'!$B$15*('Entrada de dades'!$B$8/(1*(1/'Entrada de dades'!$B$8)))</f>
        <v>36.014920253929041</v>
      </c>
      <c r="AD5" s="124">
        <f t="shared" ref="AD5:AI14" si="28">R5+X5</f>
        <v>25267.954477153027</v>
      </c>
      <c r="AE5" s="124">
        <f t="shared" si="28"/>
        <v>3022.9776286738138</v>
      </c>
      <c r="AF5" s="124">
        <f t="shared" si="28"/>
        <v>28291.410770339084</v>
      </c>
      <c r="AG5" s="124">
        <f t="shared" si="28"/>
        <v>1222.2093949846001</v>
      </c>
      <c r="AH5" s="124">
        <f t="shared" si="28"/>
        <v>844.1094176914313</v>
      </c>
      <c r="AI5" s="124">
        <f t="shared" si="28"/>
        <v>233.46514094432951</v>
      </c>
      <c r="AJ5" s="124">
        <f>AD5*('[1]Entrada de dades'!$B$19+'[1]Entrada de dades'!$B$20)</f>
        <v>15160.772686291819</v>
      </c>
      <c r="AK5" s="124">
        <f>AE5*('[1]Entrada de dades'!$B$19+'[1]Entrada de dades'!$B$20)</f>
        <v>1813.7865772042885</v>
      </c>
      <c r="AL5" s="124">
        <f>AF5*('[1]Entrada de dades'!$B$19+'[1]Entrada de dades'!$B$20)</f>
        <v>16974.846462203452</v>
      </c>
      <c r="AM5" s="124">
        <f>AG5*('[1]Entrada de dades'!$B$19+'[1]Entrada de dades'!$B$20)</f>
        <v>733.32563699076013</v>
      </c>
      <c r="AN5" s="124">
        <f>AH5*('[1]Entrada de dades'!$B$19+'[1]Entrada de dades'!$B$20)</f>
        <v>506.46565061485887</v>
      </c>
      <c r="AO5" s="124">
        <f>AI5*('[1]Entrada de dades'!$B$19+'[1]Entrada de dades'!$B$20)</f>
        <v>140.07908456659771</v>
      </c>
      <c r="AP5" s="124">
        <f t="shared" ref="AP5:AU14" si="29">AD5-AJ5</f>
        <v>10107.181790861208</v>
      </c>
      <c r="AQ5" s="124">
        <f t="shared" si="29"/>
        <v>1209.1910514695253</v>
      </c>
      <c r="AR5" s="124">
        <f t="shared" si="29"/>
        <v>11316.564308135632</v>
      </c>
      <c r="AS5" s="124">
        <f t="shared" si="29"/>
        <v>488.88375799383994</v>
      </c>
      <c r="AT5" s="124">
        <f t="shared" si="29"/>
        <v>337.64376707657243</v>
      </c>
      <c r="AU5" s="124">
        <f t="shared" si="29"/>
        <v>93.386056377731791</v>
      </c>
      <c r="AV5" s="92">
        <f t="shared" ref="AV5:AV36" si="30">(AJ5*$BT$211)+(AP5*$BU$211)</f>
        <v>19402.251524826723</v>
      </c>
      <c r="AW5" s="92">
        <f>(AK5*$BT$213)+(AQ5*$BU$213)</f>
        <v>328.65812778941699</v>
      </c>
      <c r="AX5" s="92">
        <f t="shared" ref="AX5:AX36" si="31">(AL5*$BT$212)+(AR5*$BU$212)</f>
        <v>37807.509697050336</v>
      </c>
      <c r="AY5" s="92">
        <f t="shared" ref="AY5:AY36" si="32">(AM5*$BT$214)+(AS5*$BU$214)</f>
        <v>13830.741511336832</v>
      </c>
      <c r="AZ5" s="92">
        <f t="shared" ref="AZ5:AZ36" si="33">(AN5*$BT$215)+(AT5*$BU$215)</f>
        <v>11370.103209738518</v>
      </c>
      <c r="BA5" s="92">
        <f t="shared" ref="BA5:BA36" si="34">(AO5*$BT$215)+(AU5*$BU$215)</f>
        <v>3144.7614406116618</v>
      </c>
      <c r="BB5" s="92">
        <f t="shared" ref="BB5:BB36" si="35">(AJ5*$BT$223)+(AP5*$BU$223)</f>
        <v>2138.1743078566892</v>
      </c>
      <c r="BC5" s="92">
        <f t="shared" ref="BC5:BC36" si="36">(AK5*$BT$225)+(AQ5*$BU$225)</f>
        <v>256.37873268782613</v>
      </c>
      <c r="BD5" s="92">
        <f t="shared" ref="BD5:BD36" si="37">(AL5*$BT$224)+(AR5*$BU$224)</f>
        <v>3048.1165963963331</v>
      </c>
      <c r="BE5" s="92">
        <f t="shared" ref="BE5:BE36" si="38">(AM5*$BT$226)+(AS5*$BU$226)</f>
        <v>599.61592917944483</v>
      </c>
      <c r="BF5" s="92">
        <f t="shared" ref="BF5:BF36" si="39">(AN5*$BT$227)+(AT5*$BU$227)</f>
        <v>469.66248000351231</v>
      </c>
      <c r="BG5" s="92">
        <f t="shared" ref="BG5:BG36" si="40">(AO5*$BT$227)+(AU5*$BU$227)</f>
        <v>129.90000442142491</v>
      </c>
      <c r="BH5" s="92">
        <f t="shared" ref="BH5:BH36" si="41">(AJ5*$BT$234)+(AP5*$BU$234)</f>
        <v>4196651.9712151699</v>
      </c>
      <c r="BI5" s="92">
        <f t="shared" ref="BI5:BI36" si="42">(AK5*$BT$236)+(AQ5*$BU$236)</f>
        <v>239146.00687736084</v>
      </c>
      <c r="BJ5" s="92">
        <f t="shared" ref="BJ5:BJ36" si="43">(AL5*$BT$235)+(AR5*$BU$235)</f>
        <v>5191449.545743959</v>
      </c>
      <c r="BK5" s="92">
        <f t="shared" ref="BK5:BK36" si="44">(AM5*$BT$237)+(AS5*$BU$237)</f>
        <v>865480.18112370907</v>
      </c>
      <c r="BL5" s="92">
        <f t="shared" ref="BL5:BL36" si="45">(AN5*$BT$238)+(AT5*$BU$238)</f>
        <v>674675.28471030516</v>
      </c>
      <c r="BM5" s="92">
        <f t="shared" ref="BM5:BM36" si="46">(AO5*$BT$238)+(AU5*$BU$238)</f>
        <v>186602.77581943388</v>
      </c>
    </row>
    <row r="6" spans="1:65" ht="10.5" x14ac:dyDescent="0.25">
      <c r="A6" s="66">
        <v>24659</v>
      </c>
      <c r="B6" s="66" t="s">
        <v>536</v>
      </c>
      <c r="C6" s="66" t="s">
        <v>71</v>
      </c>
      <c r="D6" s="67" t="s">
        <v>101</v>
      </c>
      <c r="E6" s="143"/>
      <c r="F6" s="143"/>
      <c r="G6" s="143"/>
      <c r="H6" s="91"/>
      <c r="I6" s="91"/>
      <c r="K6" s="91">
        <v>37726.41440385532</v>
      </c>
      <c r="L6" s="96">
        <v>11357.899171149213</v>
      </c>
      <c r="M6" s="100">
        <v>2013.6773051463051</v>
      </c>
      <c r="N6" s="104">
        <v>23314.030537531668</v>
      </c>
      <c r="O6" s="108">
        <v>1040.8073900281449</v>
      </c>
      <c r="P6" s="112">
        <v>0</v>
      </c>
      <c r="Q6" s="116">
        <v>0</v>
      </c>
      <c r="R6" s="124">
        <f>L6*'Entrada de dades'!$B$8*'Entrada de dades'!$B$11</f>
        <v>1061.7364145190284</v>
      </c>
      <c r="S6" s="124">
        <f>M6*'Entrada de dades'!$B$8*'Entrada de dades'!$B$13</f>
        <v>127.02276440862893</v>
      </c>
      <c r="T6" s="124">
        <f>N6*'Entrada de dades'!$B$8*'Entrada de dades'!$B$12</f>
        <v>5634.534900310653</v>
      </c>
      <c r="U6" s="124">
        <f>O6*'Entrada de dades'!$B$8*'Entrada de dades'!$B$14</f>
        <v>222.27482621441064</v>
      </c>
      <c r="V6" s="124">
        <f>P6*'Entrada de dades'!$B$8*'Entrada de dades'!$B$15</f>
        <v>0</v>
      </c>
      <c r="W6" s="124">
        <f>Q6*'Entrada de dades'!$B$8*'Entrada de dades'!$B$15</f>
        <v>0</v>
      </c>
      <c r="X6" s="124">
        <f>L6*(1-'Entrada de dades'!$B$8)*'Entrada de dades'!$B$11*('Entrada de dades'!$B$8/(1*(1/'Entrada de dades'!$B$8)))</f>
        <v>193.6607220082708</v>
      </c>
      <c r="Y6" s="124">
        <f>M6*(1-'Entrada de dades'!$B$8)*'Entrada de dades'!$B$13*('Entrada de dades'!$B$8/(1*(1/'Entrada de dades'!$B$8)))</f>
        <v>23.168952228133914</v>
      </c>
      <c r="Z6" s="124">
        <f>N6*(1-'Entrada de dades'!$B$8)*'Entrada de dades'!$B$12*('Entrada de dades'!$B$8/(1*(1/'Entrada de dades'!$B$8)))</f>
        <v>1027.7391658166632</v>
      </c>
      <c r="AA6" s="124">
        <f>O6*(1-'Entrada de dades'!$B$8)*'Entrada de dades'!$B$14*('Entrada de dades'!$B$8/(1*(1/'Entrada de dades'!$B$8)))</f>
        <v>40.542928301508503</v>
      </c>
      <c r="AB6" s="124">
        <f>P6*(1-'Entrada de dades'!$B$8)*'Entrada de dades'!$B$15*('Entrada de dades'!$B$8/(1*(1/'Entrada de dades'!$B$8)))</f>
        <v>0</v>
      </c>
      <c r="AC6" s="124">
        <f>Q6*(1-'Entrada de dades'!$B$8)*'Entrada de dades'!$B$15*('Entrada de dades'!$B$8/(1*(1/'Entrada de dades'!$B$8)))</f>
        <v>0</v>
      </c>
      <c r="AD6" s="124">
        <f t="shared" si="28"/>
        <v>1255.3971365272992</v>
      </c>
      <c r="AE6" s="124">
        <f t="shared" si="28"/>
        <v>150.19171663676283</v>
      </c>
      <c r="AF6" s="124">
        <f t="shared" si="28"/>
        <v>6662.2740661273165</v>
      </c>
      <c r="AG6" s="124">
        <f t="shared" si="28"/>
        <v>262.81775451591915</v>
      </c>
      <c r="AH6" s="124">
        <f t="shared" si="28"/>
        <v>0</v>
      </c>
      <c r="AI6" s="124">
        <f t="shared" si="28"/>
        <v>0</v>
      </c>
      <c r="AJ6" s="124">
        <f>AD6*('[1]Entrada de dades'!$B$19+'[1]Entrada de dades'!$B$20)</f>
        <v>753.23828191637961</v>
      </c>
      <c r="AK6" s="124">
        <f>AE6*('[1]Entrada de dades'!$B$19+'[1]Entrada de dades'!$B$20)</f>
        <v>90.11502998205772</v>
      </c>
      <c r="AL6" s="124">
        <f>AF6*('[1]Entrada de dades'!$B$19+'[1]Entrada de dades'!$B$20)</f>
        <v>3997.3644396763907</v>
      </c>
      <c r="AM6" s="124">
        <f>AG6*('[1]Entrada de dades'!$B$19+'[1]Entrada de dades'!$B$20)</f>
        <v>157.6906527095515</v>
      </c>
      <c r="AN6" s="124">
        <f>AH6*('[1]Entrada de dades'!$B$19+'[1]Entrada de dades'!$B$20)</f>
        <v>0</v>
      </c>
      <c r="AO6" s="124">
        <f>AI6*('[1]Entrada de dades'!$B$19+'[1]Entrada de dades'!$B$20)</f>
        <v>0</v>
      </c>
      <c r="AP6" s="124">
        <f t="shared" si="29"/>
        <v>502.15885461091955</v>
      </c>
      <c r="AQ6" s="124">
        <f t="shared" si="29"/>
        <v>60.076686654705114</v>
      </c>
      <c r="AR6" s="124">
        <f t="shared" si="29"/>
        <v>2664.9096264509258</v>
      </c>
      <c r="AS6" s="124">
        <f t="shared" si="29"/>
        <v>105.12710180636765</v>
      </c>
      <c r="AT6" s="124">
        <f t="shared" si="29"/>
        <v>0</v>
      </c>
      <c r="AU6" s="124">
        <f t="shared" si="29"/>
        <v>0</v>
      </c>
      <c r="AV6" s="92">
        <f t="shared" si="30"/>
        <v>963.96924525385202</v>
      </c>
      <c r="AW6" s="92">
        <f t="shared" ref="AW6:AW37" si="47">(AK6*$BT$213)+(AQ6*$BT$213)</f>
        <v>21.071897844137823</v>
      </c>
      <c r="AX6" s="92">
        <f t="shared" si="31"/>
        <v>8903.1965710099012</v>
      </c>
      <c r="AY6" s="92">
        <f t="shared" si="32"/>
        <v>2974.0930172979542</v>
      </c>
      <c r="AZ6" s="92">
        <f t="shared" si="33"/>
        <v>0</v>
      </c>
      <c r="BA6" s="92">
        <f t="shared" si="34"/>
        <v>0</v>
      </c>
      <c r="BB6" s="92">
        <f t="shared" si="35"/>
        <v>106.23170569294005</v>
      </c>
      <c r="BC6" s="92">
        <f t="shared" si="36"/>
        <v>12.737759487963856</v>
      </c>
      <c r="BD6" s="92">
        <f t="shared" si="37"/>
        <v>717.79340788455715</v>
      </c>
      <c r="BE6" s="92">
        <f t="shared" si="38"/>
        <v>128.93839036550992</v>
      </c>
      <c r="BF6" s="92">
        <f t="shared" si="39"/>
        <v>0</v>
      </c>
      <c r="BG6" s="92">
        <f t="shared" si="40"/>
        <v>0</v>
      </c>
      <c r="BH6" s="92">
        <f t="shared" si="41"/>
        <v>208503.81349344488</v>
      </c>
      <c r="BI6" s="92">
        <f t="shared" si="42"/>
        <v>11881.579591938662</v>
      </c>
      <c r="BJ6" s="92">
        <f t="shared" si="43"/>
        <v>1222521.5615786656</v>
      </c>
      <c r="BK6" s="92">
        <f t="shared" si="44"/>
        <v>186108.50048639189</v>
      </c>
      <c r="BL6" s="92">
        <f t="shared" si="45"/>
        <v>0</v>
      </c>
      <c r="BM6" s="92">
        <f t="shared" si="46"/>
        <v>0</v>
      </c>
    </row>
    <row r="7" spans="1:65" x14ac:dyDescent="0.2">
      <c r="A7" s="66">
        <v>67226</v>
      </c>
      <c r="B7" s="66" t="s">
        <v>537</v>
      </c>
      <c r="C7" s="66" t="s">
        <v>71</v>
      </c>
      <c r="D7" s="67" t="s">
        <v>107</v>
      </c>
      <c r="E7" s="91"/>
      <c r="F7" s="91"/>
      <c r="G7" s="91"/>
      <c r="H7" s="91"/>
      <c r="I7" s="91"/>
      <c r="J7" s="67"/>
      <c r="K7" s="91">
        <v>109113.93499158</v>
      </c>
      <c r="L7" s="96">
        <v>59678.217643450836</v>
      </c>
      <c r="M7" s="100">
        <v>10580.537005070057</v>
      </c>
      <c r="N7" s="104">
        <v>35347.406683212277</v>
      </c>
      <c r="O7" s="108">
        <v>1243.8917588141246</v>
      </c>
      <c r="P7" s="112">
        <v>1773.3937924650068</v>
      </c>
      <c r="Q7" s="116">
        <v>490.48810856768699</v>
      </c>
      <c r="R7" s="124">
        <f>L7*'Entrada de dades'!$B$8*'Entrada de dades'!$B$11</f>
        <v>5578.7197853097841</v>
      </c>
      <c r="S7" s="124">
        <f>M7*'Entrada de dades'!$B$8*'Entrada de dades'!$B$13</f>
        <v>667.42027427981918</v>
      </c>
      <c r="T7" s="124">
        <f>N7*'Entrada de dades'!$B$8*'Entrada de dades'!$B$12</f>
        <v>8542.7612471987431</v>
      </c>
      <c r="U7" s="124">
        <f>O7*'Entrada de dades'!$B$8*'Entrada de dades'!$B$14</f>
        <v>265.64552401234448</v>
      </c>
      <c r="V7" s="124">
        <f>P7*'Entrada de dades'!$B$8*'Entrada de dades'!$B$15</f>
        <v>216.99246444601823</v>
      </c>
      <c r="W7" s="124">
        <f>Q7*'Entrada de dades'!$B$8*'Entrada de dades'!$B$15</f>
        <v>60.016124964342183</v>
      </c>
      <c r="X7" s="124">
        <f>L7*(1-'Entrada de dades'!$B$8)*'Entrada de dades'!$B$11*('Entrada de dades'!$B$8/(1*(1/'Entrada de dades'!$B$8)))</f>
        <v>1017.5584888405048</v>
      </c>
      <c r="Y7" s="124">
        <f>M7*(1-'Entrada de dades'!$B$8)*'Entrada de dades'!$B$13*('Entrada de dades'!$B$8/(1*(1/'Entrada de dades'!$B$8)))</f>
        <v>121.73745802863901</v>
      </c>
      <c r="Z7" s="124">
        <f>N7*(1-'Entrada de dades'!$B$8)*'Entrada de dades'!$B$12*('Entrada de dades'!$B$8/(1*(1/'Entrada de dades'!$B$8)))</f>
        <v>1558.1996514890507</v>
      </c>
      <c r="AA7" s="124">
        <f>O7*(1-'Entrada de dades'!$B$8)*'Entrada de dades'!$B$14*('Entrada de dades'!$B$8/(1*(1/'Entrada de dades'!$B$8)))</f>
        <v>48.453743579851633</v>
      </c>
      <c r="AB7" s="124">
        <f>P7*(1-'Entrada de dades'!$B$8)*'Entrada de dades'!$B$15*('Entrada de dades'!$B$8/(1*(1/'Entrada de dades'!$B$8)))</f>
        <v>39.579425514953726</v>
      </c>
      <c r="AC7" s="124">
        <f>Q7*(1-'Entrada de dades'!$B$8)*'Entrada de dades'!$B$15*('Entrada de dades'!$B$8/(1*(1/'Entrada de dades'!$B$8)))</f>
        <v>10.946941193496013</v>
      </c>
      <c r="AD7" s="124">
        <f t="shared" si="28"/>
        <v>6596.2782741502888</v>
      </c>
      <c r="AE7" s="124">
        <f t="shared" si="28"/>
        <v>789.15773230845821</v>
      </c>
      <c r="AF7" s="124">
        <f t="shared" si="28"/>
        <v>10100.960898687794</v>
      </c>
      <c r="AG7" s="124">
        <f t="shared" si="28"/>
        <v>314.0992675921961</v>
      </c>
      <c r="AH7" s="124">
        <f t="shared" si="28"/>
        <v>256.57188996097193</v>
      </c>
      <c r="AI7" s="124">
        <f t="shared" si="28"/>
        <v>70.963066157838199</v>
      </c>
      <c r="AJ7" s="124">
        <f>AD7*('[1]Entrada de dades'!$B$19+'[1]Entrada de dades'!$B$20)</f>
        <v>3957.7669644901739</v>
      </c>
      <c r="AK7" s="124">
        <f>AE7*('[1]Entrada de dades'!$B$19+'[1]Entrada de dades'!$B$20)</f>
        <v>473.494639385075</v>
      </c>
      <c r="AL7" s="124">
        <f>AF7*('[1]Entrada de dades'!$B$19+'[1]Entrada de dades'!$B$20)</f>
        <v>6060.5765392126768</v>
      </c>
      <c r="AM7" s="124">
        <f>AG7*('[1]Entrada de dades'!$B$19+'[1]Entrada de dades'!$B$20)</f>
        <v>188.45956055531769</v>
      </c>
      <c r="AN7" s="124">
        <f>AH7*('[1]Entrada de dades'!$B$19+'[1]Entrada de dades'!$B$20)</f>
        <v>153.94313397658317</v>
      </c>
      <c r="AO7" s="124">
        <f>AI7*('[1]Entrada de dades'!$B$19+'[1]Entrada de dades'!$B$20)</f>
        <v>42.577839694702924</v>
      </c>
      <c r="AP7" s="124">
        <f t="shared" si="29"/>
        <v>2638.5113096601149</v>
      </c>
      <c r="AQ7" s="124">
        <f t="shared" si="29"/>
        <v>315.6630929233832</v>
      </c>
      <c r="AR7" s="124">
        <f t="shared" si="29"/>
        <v>4040.384359475117</v>
      </c>
      <c r="AS7" s="124">
        <f t="shared" si="29"/>
        <v>125.63970703687841</v>
      </c>
      <c r="AT7" s="124">
        <f t="shared" si="29"/>
        <v>102.62875598438876</v>
      </c>
      <c r="AU7" s="124">
        <f t="shared" si="29"/>
        <v>28.385226463135275</v>
      </c>
      <c r="AV7" s="92">
        <f t="shared" si="30"/>
        <v>5065.0182355890411</v>
      </c>
      <c r="AW7" s="92">
        <f t="shared" si="47"/>
        <v>110.71882984287667</v>
      </c>
      <c r="AX7" s="92">
        <f t="shared" si="31"/>
        <v>13498.52010657042</v>
      </c>
      <c r="AY7" s="92">
        <f t="shared" si="32"/>
        <v>3554.4038499414582</v>
      </c>
      <c r="AZ7" s="92">
        <f t="shared" si="33"/>
        <v>3456.0079634608937</v>
      </c>
      <c r="BA7" s="92">
        <f t="shared" si="34"/>
        <v>955.86824336211112</v>
      </c>
      <c r="BB7" s="92">
        <f t="shared" si="35"/>
        <v>558.1770675585974</v>
      </c>
      <c r="BC7" s="92">
        <f t="shared" si="36"/>
        <v>66.928467277080344</v>
      </c>
      <c r="BD7" s="92">
        <f t="shared" si="37"/>
        <v>1088.2775272246231</v>
      </c>
      <c r="BE7" s="92">
        <f t="shared" si="38"/>
        <v>154.09710068073142</v>
      </c>
      <c r="BF7" s="92">
        <f t="shared" si="39"/>
        <v>142.75659957428479</v>
      </c>
      <c r="BG7" s="92">
        <f t="shared" si="40"/>
        <v>39.483850010221175</v>
      </c>
      <c r="BH7" s="92">
        <f t="shared" si="41"/>
        <v>1095549.0776638286</v>
      </c>
      <c r="BI7" s="92">
        <f t="shared" si="42"/>
        <v>62429.810491437405</v>
      </c>
      <c r="BJ7" s="92">
        <f t="shared" si="43"/>
        <v>1853517.6380828372</v>
      </c>
      <c r="BK7" s="92">
        <f t="shared" si="44"/>
        <v>222422.3542398343</v>
      </c>
      <c r="BL7" s="92">
        <f t="shared" si="45"/>
        <v>205071.41524555106</v>
      </c>
      <c r="BM7" s="92">
        <f t="shared" si="46"/>
        <v>56718.981995124959</v>
      </c>
    </row>
    <row r="8" spans="1:65" x14ac:dyDescent="0.2">
      <c r="A8" s="66">
        <v>89300</v>
      </c>
      <c r="B8" s="66" t="s">
        <v>538</v>
      </c>
      <c r="C8" s="66" t="s">
        <v>71</v>
      </c>
      <c r="D8" s="67" t="s">
        <v>123</v>
      </c>
      <c r="E8" s="91"/>
      <c r="F8" s="91"/>
      <c r="G8" s="91"/>
      <c r="H8" s="91"/>
      <c r="I8" s="91"/>
      <c r="J8" s="67"/>
      <c r="K8" s="91">
        <v>148500.17126748996</v>
      </c>
      <c r="L8" s="96">
        <v>83022.223616615316</v>
      </c>
      <c r="M8" s="100">
        <v>14719.268502067911</v>
      </c>
      <c r="N8" s="104">
        <v>45692.244840572537</v>
      </c>
      <c r="O8" s="108">
        <v>2073.1529313568744</v>
      </c>
      <c r="P8" s="112">
        <v>2344.7630419386887</v>
      </c>
      <c r="Q8" s="116">
        <v>648.51833493863842</v>
      </c>
      <c r="R8" s="124">
        <f>L8*'Entrada de dades'!$B$8*'Entrada de dades'!$B$11</f>
        <v>7760.9174636811995</v>
      </c>
      <c r="S8" s="124">
        <f>M8*'Entrada de dades'!$B$8*'Entrada de dades'!$B$13</f>
        <v>928.49145711044389</v>
      </c>
      <c r="T8" s="124">
        <f>N8*'Entrada de dades'!$B$8*'Entrada de dades'!$B$12</f>
        <v>11042.901733069571</v>
      </c>
      <c r="U8" s="124">
        <f>O8*'Entrada de dades'!$B$8*'Entrada de dades'!$B$14</f>
        <v>442.74254002057415</v>
      </c>
      <c r="V8" s="124">
        <f>P8*'Entrada de dades'!$B$8*'Entrada de dades'!$B$15</f>
        <v>286.90520581161798</v>
      </c>
      <c r="W8" s="124">
        <f>Q8*'Entrada de dades'!$B$8*'Entrada de dades'!$B$15</f>
        <v>79.3527034630918</v>
      </c>
      <c r="X8" s="124">
        <f>L8*(1-'Entrada de dades'!$B$8)*'Entrada de dades'!$B$11*('Entrada de dades'!$B$8/(1*(1/'Entrada de dades'!$B$8)))</f>
        <v>1415.5913453754508</v>
      </c>
      <c r="Y8" s="124">
        <f>M8*(1-'Entrada de dades'!$B$8)*'Entrada de dades'!$B$13*('Entrada de dades'!$B$8/(1*(1/'Entrada de dades'!$B$8)))</f>
        <v>169.35684177694495</v>
      </c>
      <c r="Z8" s="124">
        <f>N8*(1-'Entrada de dades'!$B$8)*'Entrada de dades'!$B$12*('Entrada de dades'!$B$8/(1*(1/'Entrada de dades'!$B$8)))</f>
        <v>2014.2252761118898</v>
      </c>
      <c r="AA8" s="124">
        <f>O8*(1-'Entrada de dades'!$B$8)*'Entrada de dades'!$B$14*('Entrada de dades'!$B$8/(1*(1/'Entrada de dades'!$B$8)))</f>
        <v>80.756239299752721</v>
      </c>
      <c r="AB8" s="124">
        <f>P8*(1-'Entrada de dades'!$B$8)*'Entrada de dades'!$B$15*('Entrada de dades'!$B$8/(1*(1/'Entrada de dades'!$B$8)))</f>
        <v>52.331509540039121</v>
      </c>
      <c r="AC8" s="124">
        <f>Q8*(1-'Entrada de dades'!$B$8)*'Entrada de dades'!$B$15*('Entrada de dades'!$B$8/(1*(1/'Entrada de dades'!$B$8)))</f>
        <v>14.473933111667943</v>
      </c>
      <c r="AD8" s="124">
        <f t="shared" si="28"/>
        <v>9176.5088090566496</v>
      </c>
      <c r="AE8" s="124">
        <f t="shared" si="28"/>
        <v>1097.8482988873889</v>
      </c>
      <c r="AF8" s="124">
        <f t="shared" si="28"/>
        <v>13057.127009181462</v>
      </c>
      <c r="AG8" s="124">
        <f t="shared" si="28"/>
        <v>523.49877932032689</v>
      </c>
      <c r="AH8" s="124">
        <f t="shared" si="28"/>
        <v>339.2367153516571</v>
      </c>
      <c r="AI8" s="124">
        <f t="shared" si="28"/>
        <v>93.826636574759746</v>
      </c>
      <c r="AJ8" s="124">
        <f>AD8*('[1]Entrada de dades'!$B$19+'[1]Entrada de dades'!$B$20)</f>
        <v>5505.9052854339907</v>
      </c>
      <c r="AK8" s="124">
        <f>AE8*('[1]Entrada de dades'!$B$19+'[1]Entrada de dades'!$B$20)</f>
        <v>658.70897933243339</v>
      </c>
      <c r="AL8" s="124">
        <f>AF8*('[1]Entrada de dades'!$B$19+'[1]Entrada de dades'!$B$20)</f>
        <v>7834.2762055088788</v>
      </c>
      <c r="AM8" s="124">
        <f>AG8*('[1]Entrada de dades'!$B$19+'[1]Entrada de dades'!$B$20)</f>
        <v>314.09926759219616</v>
      </c>
      <c r="AN8" s="124">
        <f>AH8*('[1]Entrada de dades'!$B$19+'[1]Entrada de dades'!$B$20)</f>
        <v>203.54202921099429</v>
      </c>
      <c r="AO8" s="124">
        <f>AI8*('[1]Entrada de dades'!$B$19+'[1]Entrada de dades'!$B$20)</f>
        <v>56.295981944855853</v>
      </c>
      <c r="AP8" s="124">
        <f t="shared" si="29"/>
        <v>3670.6035236226589</v>
      </c>
      <c r="AQ8" s="124">
        <f t="shared" si="29"/>
        <v>439.13931955495548</v>
      </c>
      <c r="AR8" s="124">
        <f t="shared" si="29"/>
        <v>5222.8508036725834</v>
      </c>
      <c r="AS8" s="124">
        <f t="shared" si="29"/>
        <v>209.39951172813073</v>
      </c>
      <c r="AT8" s="124">
        <f t="shared" si="29"/>
        <v>135.69468614066281</v>
      </c>
      <c r="AU8" s="124">
        <f t="shared" si="29"/>
        <v>37.530654629903893</v>
      </c>
      <c r="AV8" s="92">
        <f t="shared" si="30"/>
        <v>7046.2740541222392</v>
      </c>
      <c r="AW8" s="92">
        <f t="shared" si="47"/>
        <v>154.02811633390064</v>
      </c>
      <c r="AX8" s="92">
        <f t="shared" si="31"/>
        <v>17449.022249989739</v>
      </c>
      <c r="AY8" s="92">
        <f t="shared" si="32"/>
        <v>5924.0064165690965</v>
      </c>
      <c r="AZ8" s="92">
        <f t="shared" si="33"/>
        <v>4569.4982015838996</v>
      </c>
      <c r="BA8" s="92">
        <f t="shared" si="34"/>
        <v>1263.8391650638191</v>
      </c>
      <c r="BB8" s="92">
        <f t="shared" si="35"/>
        <v>776.51617542237375</v>
      </c>
      <c r="BC8" s="92">
        <f t="shared" si="36"/>
        <v>93.10851422863945</v>
      </c>
      <c r="BD8" s="92">
        <f t="shared" si="37"/>
        <v>1406.7748639692109</v>
      </c>
      <c r="BE8" s="92">
        <f t="shared" si="38"/>
        <v>256.82850113455237</v>
      </c>
      <c r="BF8" s="92">
        <f t="shared" si="39"/>
        <v>188.751308421662</v>
      </c>
      <c r="BG8" s="92">
        <f t="shared" si="40"/>
        <v>52.205140590196322</v>
      </c>
      <c r="BH8" s="92">
        <f t="shared" si="41"/>
        <v>1524089.0914704546</v>
      </c>
      <c r="BI8" s="92">
        <f t="shared" si="42"/>
        <v>86850.142172968001</v>
      </c>
      <c r="BJ8" s="92">
        <f t="shared" si="43"/>
        <v>2395971.5770555702</v>
      </c>
      <c r="BK8" s="92">
        <f t="shared" si="44"/>
        <v>370703.92373305716</v>
      </c>
      <c r="BL8" s="92">
        <f t="shared" si="45"/>
        <v>271143.31710694684</v>
      </c>
      <c r="BM8" s="92">
        <f t="shared" si="46"/>
        <v>74993.254923767396</v>
      </c>
    </row>
    <row r="9" spans="1:65" ht="10.5" x14ac:dyDescent="0.25">
      <c r="A9" s="66">
        <v>46777</v>
      </c>
      <c r="B9" s="66" t="s">
        <v>539</v>
      </c>
      <c r="C9" s="66" t="s">
        <v>71</v>
      </c>
      <c r="D9" s="67" t="s">
        <v>131</v>
      </c>
      <c r="E9" s="143"/>
      <c r="F9" s="143"/>
      <c r="G9" s="143"/>
      <c r="H9" s="91"/>
      <c r="I9" s="91"/>
      <c r="K9" s="91">
        <v>57715.729719596282</v>
      </c>
      <c r="L9" s="96">
        <v>26444.757238144557</v>
      </c>
      <c r="M9" s="100">
        <v>4688.4733424840861</v>
      </c>
      <c r="N9" s="104">
        <v>23659.87566766957</v>
      </c>
      <c r="O9" s="108">
        <v>1345.4339432071145</v>
      </c>
      <c r="P9" s="112">
        <v>1235.4788107018464</v>
      </c>
      <c r="Q9" s="116">
        <v>341.71071738910558</v>
      </c>
      <c r="R9" s="124">
        <f>L9*'Entrada de dades'!$B$8*'Entrada de dades'!$B$11</f>
        <v>2472.0559066217529</v>
      </c>
      <c r="S9" s="124">
        <f>M9*'Entrada de dades'!$B$8*'Entrada de dades'!$B$13</f>
        <v>295.74889844389617</v>
      </c>
      <c r="T9" s="124">
        <f>N9*'Entrada de dades'!$B$8*'Entrada de dades'!$B$12</f>
        <v>5718.1187513623818</v>
      </c>
      <c r="U9" s="124">
        <f>O9*'Entrada de dades'!$B$8*'Entrada de dades'!$B$14</f>
        <v>287.33087291131142</v>
      </c>
      <c r="V9" s="124">
        <f>P9*'Entrada de dades'!$B$8*'Entrada de dades'!$B$15</f>
        <v>151.17318727747792</v>
      </c>
      <c r="W9" s="124">
        <f>Q9*'Entrada de dades'!$B$8*'Entrada de dades'!$B$15</f>
        <v>41.811723379730957</v>
      </c>
      <c r="X9" s="124">
        <f>L9*(1-'Entrada de dades'!$B$8)*'Entrada de dades'!$B$11*('Entrada de dades'!$B$8/(1*(1/'Entrada de dades'!$B$8)))</f>
        <v>450.90299736780781</v>
      </c>
      <c r="Y9" s="124">
        <f>M9*(1-'Entrada de dades'!$B$8)*'Entrada de dades'!$B$13*('Entrada de dades'!$B$8/(1*(1/'Entrada de dades'!$B$8)))</f>
        <v>53.944599076166654</v>
      </c>
      <c r="Z9" s="124">
        <f>N9*(1-'Entrada de dades'!$B$8)*'Entrada de dades'!$B$12*('Entrada de dades'!$B$8/(1*(1/'Entrada de dades'!$B$8)))</f>
        <v>1042.9848602484983</v>
      </c>
      <c r="AA9" s="124">
        <f>O9*(1-'Entrada de dades'!$B$8)*'Entrada de dades'!$B$14*('Entrada de dades'!$B$8/(1*(1/'Entrada de dades'!$B$8)))</f>
        <v>52.409151219023194</v>
      </c>
      <c r="AB9" s="124">
        <f>P9*(1-'Entrada de dades'!$B$8)*'Entrada de dades'!$B$15*('Entrada de dades'!$B$8/(1*(1/'Entrada de dades'!$B$8)))</f>
        <v>27.573989359411978</v>
      </c>
      <c r="AC9" s="124">
        <f>Q9*(1-'Entrada de dades'!$B$8)*'Entrada de dades'!$B$15*('Entrada de dades'!$B$8/(1*(1/'Entrada de dades'!$B$8)))</f>
        <v>7.626458344462927</v>
      </c>
      <c r="AD9" s="124">
        <f t="shared" si="28"/>
        <v>2922.9589039895609</v>
      </c>
      <c r="AE9" s="124">
        <f t="shared" si="28"/>
        <v>349.69349752006281</v>
      </c>
      <c r="AF9" s="124">
        <f t="shared" si="28"/>
        <v>6761.1036116108799</v>
      </c>
      <c r="AG9" s="124">
        <f t="shared" si="28"/>
        <v>339.74002413033463</v>
      </c>
      <c r="AH9" s="124">
        <f t="shared" si="28"/>
        <v>178.74717663688989</v>
      </c>
      <c r="AI9" s="124">
        <f t="shared" si="28"/>
        <v>49.438181724193882</v>
      </c>
      <c r="AJ9" s="124">
        <f>AD9*('[1]Entrada de dades'!$B$19+'[1]Entrada de dades'!$B$20)</f>
        <v>1753.7753423937368</v>
      </c>
      <c r="AK9" s="124">
        <f>AE9*('[1]Entrada de dades'!$B$19+'[1]Entrada de dades'!$B$20)</f>
        <v>209.81609851203771</v>
      </c>
      <c r="AL9" s="124">
        <f>AF9*('[1]Entrada de dades'!$B$19+'[1]Entrada de dades'!$B$20)</f>
        <v>4056.6621669665287</v>
      </c>
      <c r="AM9" s="124">
        <f>AG9*('[1]Entrada de dades'!$B$19+'[1]Entrada de dades'!$B$20)</f>
        <v>203.84401447820082</v>
      </c>
      <c r="AN9" s="124">
        <f>AH9*('[1]Entrada de dades'!$B$19+'[1]Entrada de dades'!$B$20)</f>
        <v>107.24830598213396</v>
      </c>
      <c r="AO9" s="124">
        <f>AI9*('[1]Entrada de dades'!$B$19+'[1]Entrada de dades'!$B$20)</f>
        <v>29.662909034516332</v>
      </c>
      <c r="AP9" s="124">
        <f t="shared" si="29"/>
        <v>1169.1835615958241</v>
      </c>
      <c r="AQ9" s="124">
        <f t="shared" si="29"/>
        <v>139.87739900802509</v>
      </c>
      <c r="AR9" s="124">
        <f t="shared" si="29"/>
        <v>2704.4414446443511</v>
      </c>
      <c r="AS9" s="124">
        <f t="shared" si="29"/>
        <v>135.89600965213381</v>
      </c>
      <c r="AT9" s="124">
        <f t="shared" si="29"/>
        <v>71.498870654755933</v>
      </c>
      <c r="AU9" s="124">
        <f t="shared" si="29"/>
        <v>19.77527268967755</v>
      </c>
      <c r="AV9" s="92">
        <f t="shared" si="30"/>
        <v>2244.4232240174242</v>
      </c>
      <c r="AW9" s="92">
        <f t="shared" si="47"/>
        <v>49.061997702064808</v>
      </c>
      <c r="AX9" s="92">
        <f t="shared" si="31"/>
        <v>9035.268422412315</v>
      </c>
      <c r="AY9" s="92">
        <f t="shared" si="32"/>
        <v>3844.5592662632102</v>
      </c>
      <c r="AZ9" s="92">
        <f t="shared" si="33"/>
        <v>2407.7137444683085</v>
      </c>
      <c r="BA9" s="92">
        <f t="shared" si="34"/>
        <v>665.92934153398812</v>
      </c>
      <c r="BB9" s="92">
        <f t="shared" si="35"/>
        <v>247.34078245559664</v>
      </c>
      <c r="BC9" s="92">
        <f t="shared" si="36"/>
        <v>29.65750552467653</v>
      </c>
      <c r="BD9" s="92">
        <f t="shared" si="37"/>
        <v>728.44130311495633</v>
      </c>
      <c r="BE9" s="92">
        <f t="shared" si="38"/>
        <v>166.67645583834218</v>
      </c>
      <c r="BF9" s="92">
        <f t="shared" si="39"/>
        <v>99.454929080765524</v>
      </c>
      <c r="BG9" s="92">
        <f t="shared" si="40"/>
        <v>27.507404311341475</v>
      </c>
      <c r="BH9" s="92">
        <f t="shared" si="41"/>
        <v>485462.3771504761</v>
      </c>
      <c r="BI9" s="92">
        <f t="shared" si="42"/>
        <v>27664.049766583616</v>
      </c>
      <c r="BJ9" s="92">
        <f t="shared" si="43"/>
        <v>1240656.6981814904</v>
      </c>
      <c r="BK9" s="92">
        <f t="shared" si="44"/>
        <v>240579.2811165555</v>
      </c>
      <c r="BL9" s="92">
        <f t="shared" si="45"/>
        <v>142868.09240735366</v>
      </c>
      <c r="BM9" s="92">
        <f t="shared" si="46"/>
        <v>39514.686877386914</v>
      </c>
    </row>
    <row r="10" spans="1:65" ht="10.5" x14ac:dyDescent="0.25">
      <c r="A10" s="66">
        <v>20351</v>
      </c>
      <c r="B10" s="66" t="s">
        <v>540</v>
      </c>
      <c r="C10" s="66" t="s">
        <v>71</v>
      </c>
      <c r="D10" s="67" t="s">
        <v>137</v>
      </c>
      <c r="E10" s="143"/>
      <c r="F10" s="143"/>
      <c r="G10" s="143"/>
      <c r="H10" s="91"/>
      <c r="I10" s="91"/>
      <c r="K10" s="91">
        <v>31044.556581175562</v>
      </c>
      <c r="L10" s="96">
        <v>8053.1138446064688</v>
      </c>
      <c r="M10" s="100">
        <v>1427.7616256565827</v>
      </c>
      <c r="N10" s="104">
        <v>19641.96900871451</v>
      </c>
      <c r="O10" s="108">
        <v>1260.8154562129562</v>
      </c>
      <c r="P10" s="112">
        <v>513.81755999999996</v>
      </c>
      <c r="Q10" s="116">
        <v>147.07908598504517</v>
      </c>
      <c r="R10" s="124">
        <f>L10*'Entrada de dades'!$B$8*'Entrada de dades'!$B$11</f>
        <v>752.80508219381272</v>
      </c>
      <c r="S10" s="124">
        <f>M10*'Entrada de dades'!$B$8*'Entrada de dades'!$B$13</f>
        <v>90.063203346417254</v>
      </c>
      <c r="T10" s="124">
        <f>N10*'Entrada de dades'!$B$8*'Entrada de dades'!$B$12</f>
        <v>4747.0710700261234</v>
      </c>
      <c r="U10" s="124">
        <f>O10*'Entrada de dades'!$B$8*'Entrada de dades'!$B$14</f>
        <v>269.25974882883895</v>
      </c>
      <c r="V10" s="124">
        <f>P10*'Entrada de dades'!$B$8*'Entrada de dades'!$B$15</f>
        <v>62.870716641599998</v>
      </c>
      <c r="W10" s="124">
        <f>Q10*'Entrada de dades'!$B$8*'Entrada de dades'!$B$15</f>
        <v>17.996596961130127</v>
      </c>
      <c r="X10" s="124">
        <f>L10*(1-'Entrada de dades'!$B$8)*'Entrada de dades'!$B$11*('Entrada de dades'!$B$8/(1*(1/'Entrada de dades'!$B$8)))</f>
        <v>137.31164699215142</v>
      </c>
      <c r="Y10" s="124">
        <f>M10*(1-'Entrada de dades'!$B$8)*'Entrada de dades'!$B$13*('Entrada de dades'!$B$8/(1*(1/'Entrada de dades'!$B$8)))</f>
        <v>16.427528290386505</v>
      </c>
      <c r="Z10" s="124">
        <f>N10*(1-'Entrada de dades'!$B$8)*'Entrada de dades'!$B$12*('Entrada de dades'!$B$8/(1*(1/'Entrada de dades'!$B$8)))</f>
        <v>865.86576317276479</v>
      </c>
      <c r="AA10" s="124">
        <f>O10*(1-'Entrada de dades'!$B$8)*'Entrada de dades'!$B$14*('Entrada de dades'!$B$8/(1*(1/'Entrada de dades'!$B$8)))</f>
        <v>49.112978186380225</v>
      </c>
      <c r="AB10" s="124">
        <f>P10*(1-'Entrada de dades'!$B$8)*'Entrada de dades'!$B$15*('Entrada de dades'!$B$8/(1*(1/'Entrada de dades'!$B$8)))</f>
        <v>11.467618715427838</v>
      </c>
      <c r="AC10" s="124">
        <f>Q10*(1-'Entrada de dades'!$B$8)*'Entrada de dades'!$B$15*('Entrada de dades'!$B$8/(1*(1/'Entrada de dades'!$B$8)))</f>
        <v>3.2825792857101352</v>
      </c>
      <c r="AD10" s="124">
        <f t="shared" si="28"/>
        <v>890.11672918596412</v>
      </c>
      <c r="AE10" s="124">
        <f t="shared" si="28"/>
        <v>106.49073163680376</v>
      </c>
      <c r="AF10" s="124">
        <f t="shared" si="28"/>
        <v>5612.9368331988881</v>
      </c>
      <c r="AG10" s="124">
        <f t="shared" si="28"/>
        <v>318.3727270152192</v>
      </c>
      <c r="AH10" s="124">
        <f t="shared" si="28"/>
        <v>74.33833535702783</v>
      </c>
      <c r="AI10" s="124">
        <f t="shared" si="28"/>
        <v>21.279176246840262</v>
      </c>
      <c r="AJ10" s="124">
        <f>AD10*('[1]Entrada de dades'!$B$19+'[1]Entrada de dades'!$B$20)</f>
        <v>534.07003751157856</v>
      </c>
      <c r="AK10" s="124">
        <f>AE10*('[1]Entrada de dades'!$B$19+'[1]Entrada de dades'!$B$20)</f>
        <v>63.894438982082264</v>
      </c>
      <c r="AL10" s="124">
        <f>AF10*('[1]Entrada de dades'!$B$19+'[1]Entrada de dades'!$B$20)</f>
        <v>3367.7620999193332</v>
      </c>
      <c r="AM10" s="124">
        <f>AG10*('[1]Entrada de dades'!$B$19+'[1]Entrada de dades'!$B$20)</f>
        <v>191.02363620913155</v>
      </c>
      <c r="AN10" s="124">
        <f>AH10*('[1]Entrada de dades'!$B$19+'[1]Entrada de dades'!$B$20)</f>
        <v>44.603001214216704</v>
      </c>
      <c r="AO10" s="124">
        <f>AI10*('[1]Entrada de dades'!$B$19+'[1]Entrada de dades'!$B$20)</f>
        <v>12.767505748104158</v>
      </c>
      <c r="AP10" s="124">
        <f t="shared" si="29"/>
        <v>356.04669167438556</v>
      </c>
      <c r="AQ10" s="124">
        <f t="shared" si="29"/>
        <v>42.596292654721495</v>
      </c>
      <c r="AR10" s="124">
        <f t="shared" si="29"/>
        <v>2245.1747332795549</v>
      </c>
      <c r="AS10" s="124">
        <f t="shared" si="29"/>
        <v>127.34909080608764</v>
      </c>
      <c r="AT10" s="124">
        <f t="shared" si="29"/>
        <v>29.735334142811126</v>
      </c>
      <c r="AU10" s="124">
        <f t="shared" si="29"/>
        <v>8.5116704987361036</v>
      </c>
      <c r="AV10" s="92">
        <f t="shared" si="30"/>
        <v>683.48503167273441</v>
      </c>
      <c r="AW10" s="92">
        <f t="shared" si="47"/>
        <v>14.940649648643566</v>
      </c>
      <c r="AX10" s="92">
        <f t="shared" si="31"/>
        <v>7500.9042664136668</v>
      </c>
      <c r="AY10" s="92">
        <f t="shared" si="32"/>
        <v>3602.7630859950832</v>
      </c>
      <c r="AZ10" s="92">
        <f t="shared" si="33"/>
        <v>1001.3329169590434</v>
      </c>
      <c r="BA10" s="92">
        <f t="shared" si="34"/>
        <v>286.62922729436355</v>
      </c>
      <c r="BB10" s="92">
        <f t="shared" si="35"/>
        <v>75.321677623716283</v>
      </c>
      <c r="BC10" s="92">
        <f t="shared" si="36"/>
        <v>9.0314789501173269</v>
      </c>
      <c r="BD10" s="92">
        <f t="shared" si="37"/>
        <v>604.73781440884818</v>
      </c>
      <c r="BE10" s="92">
        <f t="shared" si="38"/>
        <v>156.19365987366655</v>
      </c>
      <c r="BF10" s="92">
        <f t="shared" si="39"/>
        <v>41.361849792650283</v>
      </c>
      <c r="BG10" s="92">
        <f t="shared" si="40"/>
        <v>11.839733663741921</v>
      </c>
      <c r="BH10" s="92">
        <f t="shared" si="41"/>
        <v>147835.8736765763</v>
      </c>
      <c r="BI10" s="92">
        <f t="shared" si="42"/>
        <v>8424.4200151631976</v>
      </c>
      <c r="BJ10" s="92">
        <f t="shared" si="43"/>
        <v>1029969.0817663195</v>
      </c>
      <c r="BK10" s="92">
        <f t="shared" si="44"/>
        <v>225448.50871928784</v>
      </c>
      <c r="BL10" s="92">
        <f t="shared" si="45"/>
        <v>59416.749204221109</v>
      </c>
      <c r="BM10" s="92">
        <f t="shared" si="46"/>
        <v>17007.906785356852</v>
      </c>
    </row>
    <row r="11" spans="1:65" ht="10.5" x14ac:dyDescent="0.25">
      <c r="A11" s="66">
        <v>46931</v>
      </c>
      <c r="B11" s="66" t="s">
        <v>541</v>
      </c>
      <c r="C11" s="66" t="s">
        <v>71</v>
      </c>
      <c r="D11" s="67" t="s">
        <v>143</v>
      </c>
      <c r="E11" s="143"/>
      <c r="F11" s="143"/>
      <c r="G11" s="143"/>
      <c r="H11" s="91"/>
      <c r="I11" s="91"/>
      <c r="K11" s="91">
        <v>67876.455878153793</v>
      </c>
      <c r="L11" s="96">
        <v>31300.216270096749</v>
      </c>
      <c r="M11" s="100">
        <v>5549.3127909928098</v>
      </c>
      <c r="N11" s="104">
        <v>27881.220638470462</v>
      </c>
      <c r="O11" s="108">
        <v>1565.4420093919255</v>
      </c>
      <c r="P11" s="112">
        <v>1237.8873062411324</v>
      </c>
      <c r="Q11" s="116">
        <v>342.37686296070814</v>
      </c>
      <c r="R11" s="124">
        <f>L11*'Entrada de dades'!$B$8*'Entrada de dades'!$B$11</f>
        <v>2925.944216928644</v>
      </c>
      <c r="S11" s="124">
        <f>M11*'Entrada de dades'!$B$8*'Entrada de dades'!$B$13</f>
        <v>350.05065085582646</v>
      </c>
      <c r="T11" s="124">
        <f>N11*'Entrada de dades'!$B$8*'Entrada de dades'!$B$12</f>
        <v>6738.3334039055417</v>
      </c>
      <c r="U11" s="124">
        <f>O11*'Entrada de dades'!$B$8*'Entrada de dades'!$B$14</f>
        <v>334.31579552573965</v>
      </c>
      <c r="V11" s="124">
        <f>P11*'Entrada de dades'!$B$8*'Entrada de dades'!$B$15</f>
        <v>151.46789079166496</v>
      </c>
      <c r="W11" s="124">
        <f>Q11*'Entrada de dades'!$B$8*'Entrada de dades'!$B$15</f>
        <v>41.89323295187225</v>
      </c>
      <c r="X11" s="124">
        <f>L11*(1-'Entrada de dades'!$B$8)*'Entrada de dades'!$B$11*('Entrada de dades'!$B$8/(1*(1/'Entrada de dades'!$B$8)))</f>
        <v>533.69222516778473</v>
      </c>
      <c r="Y11" s="124">
        <f>M11*(1-'Entrada de dades'!$B$8)*'Entrada de dades'!$B$13*('Entrada de dades'!$B$8/(1*(1/'Entrada de dades'!$B$8)))</f>
        <v>63.849238716102754</v>
      </c>
      <c r="Z11" s="124">
        <f>N11*(1-'Entrada de dades'!$B$8)*'Entrada de dades'!$B$12*('Entrada de dades'!$B$8/(1*(1/'Entrada de dades'!$B$8)))</f>
        <v>1229.0720128723708</v>
      </c>
      <c r="AA11" s="124">
        <f>O11*(1-'Entrada de dades'!$B$8)*'Entrada de dades'!$B$14*('Entrada de dades'!$B$8/(1*(1/'Entrada de dades'!$B$8)))</f>
        <v>60.979201103894908</v>
      </c>
      <c r="AB11" s="124">
        <f>P11*(1-'Entrada de dades'!$B$8)*'Entrada de dades'!$B$15*('Entrada de dades'!$B$8/(1*(1/'Entrada de dades'!$B$8)))</f>
        <v>27.627743280399685</v>
      </c>
      <c r="AC11" s="124">
        <f>Q11*(1-'Entrada de dades'!$B$8)*'Entrada de dades'!$B$15*('Entrada de dades'!$B$8/(1*(1/'Entrada de dades'!$B$8)))</f>
        <v>7.6413256904214988</v>
      </c>
      <c r="AD11" s="124">
        <f t="shared" si="28"/>
        <v>3459.6364420964287</v>
      </c>
      <c r="AE11" s="124">
        <f t="shared" si="28"/>
        <v>413.89988957192924</v>
      </c>
      <c r="AF11" s="124">
        <f t="shared" si="28"/>
        <v>7967.4054167779123</v>
      </c>
      <c r="AG11" s="124">
        <f t="shared" si="28"/>
        <v>395.29499662963457</v>
      </c>
      <c r="AH11" s="124">
        <f t="shared" si="28"/>
        <v>179.09563407206463</v>
      </c>
      <c r="AI11" s="124">
        <f t="shared" si="28"/>
        <v>49.534558642293746</v>
      </c>
      <c r="AJ11" s="124">
        <f>AD11*('[1]Entrada de dades'!$B$19+'[1]Entrada de dades'!$B$20)</f>
        <v>2075.7818652578576</v>
      </c>
      <c r="AK11" s="124">
        <f>AE11*('[1]Entrada de dades'!$B$19+'[1]Entrada de dades'!$B$20)</f>
        <v>248.33993374315759</v>
      </c>
      <c r="AL11" s="124">
        <f>AF11*('[1]Entrada de dades'!$B$19+'[1]Entrada de dades'!$B$20)</f>
        <v>4780.4432500667481</v>
      </c>
      <c r="AM11" s="124">
        <f>AG11*('[1]Entrada de dades'!$B$19+'[1]Entrada de dades'!$B$20)</f>
        <v>237.17699797778079</v>
      </c>
      <c r="AN11" s="124">
        <f>AH11*('[1]Entrada de dades'!$B$19+'[1]Entrada de dades'!$B$20)</f>
        <v>107.45738044323879</v>
      </c>
      <c r="AO11" s="124">
        <f>AI11*('[1]Entrada de dades'!$B$19+'[1]Entrada de dades'!$B$20)</f>
        <v>29.720735185376252</v>
      </c>
      <c r="AP11" s="124">
        <f t="shared" si="29"/>
        <v>1383.8545768385711</v>
      </c>
      <c r="AQ11" s="124">
        <f t="shared" si="29"/>
        <v>165.55995582877165</v>
      </c>
      <c r="AR11" s="124">
        <f t="shared" si="29"/>
        <v>3186.9621667111642</v>
      </c>
      <c r="AS11" s="124">
        <f t="shared" si="29"/>
        <v>158.11799865185378</v>
      </c>
      <c r="AT11" s="124">
        <f t="shared" si="29"/>
        <v>71.638253628825836</v>
      </c>
      <c r="AU11" s="124">
        <f t="shared" si="29"/>
        <v>19.813823456917493</v>
      </c>
      <c r="AV11" s="92">
        <f t="shared" si="30"/>
        <v>2656.5164384281638</v>
      </c>
      <c r="AW11" s="92">
        <f t="shared" si="47"/>
        <v>58.070154506941662</v>
      </c>
      <c r="AX11" s="92">
        <f t="shared" si="31"/>
        <v>10647.321902765332</v>
      </c>
      <c r="AY11" s="92">
        <f t="shared" si="32"/>
        <v>4473.2293349603387</v>
      </c>
      <c r="AZ11" s="92">
        <f t="shared" si="33"/>
        <v>2412.4074452126661</v>
      </c>
      <c r="BA11" s="92">
        <f t="shared" si="34"/>
        <v>667.22753283817815</v>
      </c>
      <c r="BB11" s="92">
        <f t="shared" si="35"/>
        <v>292.75443573019982</v>
      </c>
      <c r="BC11" s="92">
        <f t="shared" si="36"/>
        <v>35.102849634595323</v>
      </c>
      <c r="BD11" s="92">
        <f t="shared" si="37"/>
        <v>858.40825960365237</v>
      </c>
      <c r="BE11" s="92">
        <f t="shared" si="38"/>
        <v>193.93172534649869</v>
      </c>
      <c r="BF11" s="92">
        <f t="shared" si="39"/>
        <v>99.648810797696754</v>
      </c>
      <c r="BG11" s="92">
        <f t="shared" si="40"/>
        <v>27.561028428572239</v>
      </c>
      <c r="BH11" s="92">
        <f t="shared" si="41"/>
        <v>574596.97054384113</v>
      </c>
      <c r="BI11" s="92">
        <f t="shared" si="42"/>
        <v>32743.380202099379</v>
      </c>
      <c r="BJ11" s="92">
        <f t="shared" si="43"/>
        <v>1462012.0420100885</v>
      </c>
      <c r="BK11" s="92">
        <f t="shared" si="44"/>
        <v>279919.28934945131</v>
      </c>
      <c r="BL11" s="92">
        <f t="shared" si="45"/>
        <v>143146.60561234655</v>
      </c>
      <c r="BM11" s="92">
        <f t="shared" si="46"/>
        <v>39591.718507760575</v>
      </c>
    </row>
    <row r="12" spans="1:65" ht="10.5" x14ac:dyDescent="0.25">
      <c r="A12" s="66">
        <v>62475</v>
      </c>
      <c r="B12" s="66" t="s">
        <v>542</v>
      </c>
      <c r="C12" s="66" t="s">
        <v>71</v>
      </c>
      <c r="D12" s="67" t="s">
        <v>151</v>
      </c>
      <c r="E12" s="143"/>
      <c r="F12" s="143"/>
      <c r="G12" s="143"/>
      <c r="H12" s="91"/>
      <c r="I12" s="91"/>
      <c r="K12" s="91">
        <v>117761.57466723704</v>
      </c>
      <c r="L12" s="96">
        <v>60177.380346885235</v>
      </c>
      <c r="M12" s="100">
        <v>10669.03511482917</v>
      </c>
      <c r="N12" s="104">
        <v>42661.013994069726</v>
      </c>
      <c r="O12" s="108">
        <v>3300.1209927721675</v>
      </c>
      <c r="P12" s="112">
        <v>505.47399999999999</v>
      </c>
      <c r="Q12" s="116">
        <v>448.55021868075067</v>
      </c>
      <c r="R12" s="124">
        <f>L12*'Entrada de dades'!$B$8*'Entrada de dades'!$B$11</f>
        <v>5625.3815148268313</v>
      </c>
      <c r="S12" s="124">
        <f>M12*'Entrada de dades'!$B$8*'Entrada de dades'!$B$13</f>
        <v>673.00273504342408</v>
      </c>
      <c r="T12" s="124">
        <f>N12*'Entrada de dades'!$B$8*'Entrada de dades'!$B$12</f>
        <v>10310.313862086772</v>
      </c>
      <c r="U12" s="124">
        <f>O12*'Entrada de dades'!$B$8*'Entrada de dades'!$B$14</f>
        <v>704.77383921642411</v>
      </c>
      <c r="V12" s="124">
        <f>P12*'Entrada de dades'!$B$8*'Entrada de dades'!$B$15</f>
        <v>61.849798640000003</v>
      </c>
      <c r="W12" s="124">
        <f>Q12*'Entrada de dades'!$B$8*'Entrada de dades'!$B$15</f>
        <v>54.884604757776657</v>
      </c>
      <c r="X12" s="124">
        <f>L12*(1-'Entrada de dades'!$B$8)*'Entrada de dades'!$B$11*('Entrada de dades'!$B$8/(1*(1/'Entrada de dades'!$B$8)))</f>
        <v>1026.0695883044139</v>
      </c>
      <c r="Y12" s="124">
        <f>M12*(1-'Entrada de dades'!$B$8)*'Entrada de dades'!$B$13*('Entrada de dades'!$B$8/(1*(1/'Entrada de dades'!$B$8)))</f>
        <v>122.75569887192054</v>
      </c>
      <c r="Z12" s="124">
        <f>N12*(1-'Entrada de dades'!$B$8)*'Entrada de dades'!$B$12*('Entrada de dades'!$B$8/(1*(1/'Entrada de dades'!$B$8)))</f>
        <v>1880.6012484446271</v>
      </c>
      <c r="AA12" s="124">
        <f>O12*(1-'Entrada de dades'!$B$8)*'Entrada de dades'!$B$14*('Entrada de dades'!$B$8/(1*(1/'Entrada de dades'!$B$8)))</f>
        <v>128.55074827307575</v>
      </c>
      <c r="AB12" s="124">
        <f>P12*(1-'Entrada de dades'!$B$8)*'Entrada de dades'!$B$15*('Entrada de dades'!$B$8/(1*(1/'Entrada de dades'!$B$8)))</f>
        <v>11.281403271936</v>
      </c>
      <c r="AC12" s="124">
        <f>Q12*(1-'Entrada de dades'!$B$8)*'Entrada de dades'!$B$15*('Entrada de dades'!$B$8/(1*(1/'Entrada de dades'!$B$8)))</f>
        <v>10.010951907818463</v>
      </c>
      <c r="AD12" s="124">
        <f t="shared" si="28"/>
        <v>6651.451103131245</v>
      </c>
      <c r="AE12" s="124">
        <f t="shared" si="28"/>
        <v>795.75843391534465</v>
      </c>
      <c r="AF12" s="124">
        <f t="shared" si="28"/>
        <v>12190.915110531399</v>
      </c>
      <c r="AG12" s="124">
        <f t="shared" si="28"/>
        <v>833.32458748949989</v>
      </c>
      <c r="AH12" s="124">
        <f t="shared" si="28"/>
        <v>73.131201911936003</v>
      </c>
      <c r="AI12" s="124">
        <f t="shared" si="28"/>
        <v>64.895556665595123</v>
      </c>
      <c r="AJ12" s="124">
        <f>AD12*('[1]Entrada de dades'!$B$19+'[1]Entrada de dades'!$B$20)</f>
        <v>3990.8706618787473</v>
      </c>
      <c r="AK12" s="124">
        <f>AE12*('[1]Entrada de dades'!$B$19+'[1]Entrada de dades'!$B$20)</f>
        <v>477.45506034920686</v>
      </c>
      <c r="AL12" s="124">
        <f>AF12*('[1]Entrada de dades'!$B$19+'[1]Entrada de dades'!$B$20)</f>
        <v>7314.5490663188411</v>
      </c>
      <c r="AM12" s="124">
        <f>AG12*('[1]Entrada de dades'!$B$19+'[1]Entrada de dades'!$B$20)</f>
        <v>499.99475249369999</v>
      </c>
      <c r="AN12" s="124">
        <f>AH12*('[1]Entrada de dades'!$B$19+'[1]Entrada de dades'!$B$20)</f>
        <v>43.878721147161606</v>
      </c>
      <c r="AO12" s="124">
        <f>AI12*('[1]Entrada de dades'!$B$19+'[1]Entrada de dades'!$B$20)</f>
        <v>38.93733399935708</v>
      </c>
      <c r="AP12" s="124">
        <f t="shared" si="29"/>
        <v>2660.5804412524976</v>
      </c>
      <c r="AQ12" s="124">
        <f t="shared" si="29"/>
        <v>318.30337356613779</v>
      </c>
      <c r="AR12" s="124">
        <f t="shared" si="29"/>
        <v>4876.3660442125583</v>
      </c>
      <c r="AS12" s="124">
        <f t="shared" si="29"/>
        <v>333.3298349957999</v>
      </c>
      <c r="AT12" s="124">
        <f t="shared" si="29"/>
        <v>29.252480764774397</v>
      </c>
      <c r="AU12" s="124">
        <f t="shared" si="29"/>
        <v>25.958222666238044</v>
      </c>
      <c r="AV12" s="92">
        <f t="shared" si="30"/>
        <v>5107.3832440503575</v>
      </c>
      <c r="AW12" s="92">
        <f t="shared" si="47"/>
        <v>111.64490827832284</v>
      </c>
      <c r="AX12" s="92">
        <f t="shared" si="31"/>
        <v>16291.451317109742</v>
      </c>
      <c r="AY12" s="92">
        <f t="shared" si="32"/>
        <v>9430.0510304569289</v>
      </c>
      <c r="AZ12" s="92">
        <f t="shared" si="33"/>
        <v>985.07290188166326</v>
      </c>
      <c r="BA12" s="92">
        <f t="shared" si="34"/>
        <v>874.13925455216645</v>
      </c>
      <c r="BB12" s="92">
        <f t="shared" si="35"/>
        <v>562.84579234696594</v>
      </c>
      <c r="BC12" s="92">
        <f t="shared" si="36"/>
        <v>67.488272780360376</v>
      </c>
      <c r="BD12" s="92">
        <f t="shared" si="37"/>
        <v>1313.449194008653</v>
      </c>
      <c r="BE12" s="92">
        <f t="shared" si="38"/>
        <v>408.82904262234865</v>
      </c>
      <c r="BF12" s="92">
        <f t="shared" si="39"/>
        <v>40.690200743801185</v>
      </c>
      <c r="BG12" s="92">
        <f t="shared" si="40"/>
        <v>36.107887728737126</v>
      </c>
      <c r="BH12" s="92">
        <f t="shared" si="41"/>
        <v>1104712.5088275899</v>
      </c>
      <c r="BI12" s="92">
        <f t="shared" si="42"/>
        <v>62951.988167151263</v>
      </c>
      <c r="BJ12" s="92">
        <f t="shared" si="43"/>
        <v>2237022.4385955166</v>
      </c>
      <c r="BK12" s="92">
        <f t="shared" si="44"/>
        <v>590100.12349343789</v>
      </c>
      <c r="BL12" s="92">
        <f t="shared" si="45"/>
        <v>58451.918006178043</v>
      </c>
      <c r="BM12" s="92">
        <f t="shared" si="46"/>
        <v>51869.375287315415</v>
      </c>
    </row>
    <row r="13" spans="1:65" x14ac:dyDescent="0.2">
      <c r="A13" s="66">
        <v>264657</v>
      </c>
      <c r="B13" s="66" t="s">
        <v>543</v>
      </c>
      <c r="C13" s="66" t="s">
        <v>71</v>
      </c>
      <c r="D13" s="67" t="s">
        <v>155</v>
      </c>
      <c r="E13" s="91"/>
      <c r="F13" s="91"/>
      <c r="G13" s="91"/>
      <c r="H13" s="91"/>
      <c r="I13" s="91"/>
      <c r="J13" s="67"/>
      <c r="K13" s="91">
        <v>330307.4516999636</v>
      </c>
      <c r="L13" s="96">
        <v>182044.3136393271</v>
      </c>
      <c r="M13" s="100">
        <v>32275.20313242558</v>
      </c>
      <c r="N13" s="104">
        <v>100935.9184223066</v>
      </c>
      <c r="O13" s="108">
        <v>6100.9929122788026</v>
      </c>
      <c r="P13" s="112">
        <v>7011.7127885082527</v>
      </c>
      <c r="Q13" s="116">
        <v>1939.3108051172667</v>
      </c>
      <c r="R13" s="124">
        <f>L13*'Entrada de dades'!$B$8*'Entrada de dades'!$B$11</f>
        <v>17017.502439004296</v>
      </c>
      <c r="S13" s="124">
        <f>M13*'Entrada de dades'!$B$8*'Entrada de dades'!$B$13</f>
        <v>2035.9198135934057</v>
      </c>
      <c r="T13" s="124">
        <f>N13*'Entrada de dades'!$B$8*'Entrada de dades'!$B$12</f>
        <v>24394.192764303058</v>
      </c>
      <c r="U13" s="124">
        <f>O13*'Entrada de dades'!$B$8*'Entrada de dades'!$B$14</f>
        <v>1302.9280463462612</v>
      </c>
      <c r="V13" s="124">
        <f>P13*'Entrada de dades'!$B$8*'Entrada de dades'!$B$15</f>
        <v>857.95317680186986</v>
      </c>
      <c r="W13" s="124">
        <f>Q13*'Entrada de dades'!$B$8*'Entrada de dades'!$B$15</f>
        <v>237.29407011414875</v>
      </c>
      <c r="X13" s="124">
        <f>L13*(1-'Entrada de dades'!$B$8)*'Entrada de dades'!$B$11*('Entrada de dades'!$B$8/(1*(1/'Entrada de dades'!$B$8)))</f>
        <v>3103.9924448743836</v>
      </c>
      <c r="Y13" s="124">
        <f>M13*(1-'Entrada de dades'!$B$8)*'Entrada de dades'!$B$13*('Entrada de dades'!$B$8/(1*(1/'Entrada de dades'!$B$8)))</f>
        <v>371.35177399943723</v>
      </c>
      <c r="Z13" s="124">
        <f>N13*(1-'Entrada de dades'!$B$8)*'Entrada de dades'!$B$12*('Entrada de dades'!$B$8/(1*(1/'Entrada de dades'!$B$8)))</f>
        <v>4449.5007602088772</v>
      </c>
      <c r="AA13" s="124">
        <f>O13*(1-'Entrada de dades'!$B$8)*'Entrada de dades'!$B$14*('Entrada de dades'!$B$8/(1*(1/'Entrada de dades'!$B$8)))</f>
        <v>237.65407565355804</v>
      </c>
      <c r="AB13" s="124">
        <f>P13*(1-'Entrada de dades'!$B$8)*'Entrada de dades'!$B$15*('Entrada de dades'!$B$8/(1*(1/'Entrada de dades'!$B$8)))</f>
        <v>156.49065944866106</v>
      </c>
      <c r="AC13" s="124">
        <f>Q13*(1-'Entrada de dades'!$B$8)*'Entrada de dades'!$B$15*('Entrada de dades'!$B$8/(1*(1/'Entrada de dades'!$B$8)))</f>
        <v>43.282438388820729</v>
      </c>
      <c r="AD13" s="124">
        <f t="shared" si="28"/>
        <v>20121.49488387868</v>
      </c>
      <c r="AE13" s="124">
        <f t="shared" si="28"/>
        <v>2407.2715875928429</v>
      </c>
      <c r="AF13" s="124">
        <f t="shared" si="28"/>
        <v>28843.693524511935</v>
      </c>
      <c r="AG13" s="124">
        <f t="shared" si="28"/>
        <v>1540.5821219998193</v>
      </c>
      <c r="AH13" s="124">
        <f t="shared" si="28"/>
        <v>1014.4438362505309</v>
      </c>
      <c r="AI13" s="124">
        <f t="shared" si="28"/>
        <v>280.57650850296949</v>
      </c>
      <c r="AJ13" s="124">
        <f>AD13*('[1]Entrada de dades'!$B$19+'[1]Entrada de dades'!$B$20)</f>
        <v>12072.89693032721</v>
      </c>
      <c r="AK13" s="124">
        <f>AE13*('[1]Entrada de dades'!$B$19+'[1]Entrada de dades'!$B$20)</f>
        <v>1444.362952555706</v>
      </c>
      <c r="AL13" s="124">
        <f>AF13*('[1]Entrada de dades'!$B$19+'[1]Entrada de dades'!$B$20)</f>
        <v>17306.216114707164</v>
      </c>
      <c r="AM13" s="124">
        <f>AG13*('[1]Entrada de dades'!$B$19+'[1]Entrada de dades'!$B$20)</f>
        <v>924.34927319989174</v>
      </c>
      <c r="AN13" s="124">
        <f>AH13*('[1]Entrada de dades'!$B$19+'[1]Entrada de dades'!$B$20)</f>
        <v>608.66630175031867</v>
      </c>
      <c r="AO13" s="124">
        <f>AI13*('[1]Entrada de dades'!$B$19+'[1]Entrada de dades'!$B$20)</f>
        <v>168.34590510178171</v>
      </c>
      <c r="AP13" s="124">
        <f t="shared" si="29"/>
        <v>8048.5979535514707</v>
      </c>
      <c r="AQ13" s="124">
        <f t="shared" si="29"/>
        <v>962.90863503713695</v>
      </c>
      <c r="AR13" s="124">
        <f t="shared" si="29"/>
        <v>11537.477409804771</v>
      </c>
      <c r="AS13" s="124">
        <f t="shared" si="29"/>
        <v>616.23284879992752</v>
      </c>
      <c r="AT13" s="124">
        <f t="shared" si="29"/>
        <v>405.77753450021225</v>
      </c>
      <c r="AU13" s="124">
        <f t="shared" si="29"/>
        <v>112.23060340118778</v>
      </c>
      <c r="AV13" s="92">
        <f t="shared" si="30"/>
        <v>15450.491061535085</v>
      </c>
      <c r="AW13" s="92">
        <f t="shared" si="47"/>
        <v>337.74020373927584</v>
      </c>
      <c r="AX13" s="92">
        <f t="shared" si="31"/>
        <v>38545.558278416771</v>
      </c>
      <c r="AY13" s="92">
        <f t="shared" si="32"/>
        <v>17433.504597331914</v>
      </c>
      <c r="AZ13" s="92">
        <f t="shared" si="33"/>
        <v>13664.497607664476</v>
      </c>
      <c r="BA13" s="92">
        <f t="shared" si="34"/>
        <v>3779.348734944489</v>
      </c>
      <c r="BB13" s="92">
        <f t="shared" si="35"/>
        <v>1702.6808970738139</v>
      </c>
      <c r="BC13" s="92">
        <f t="shared" si="36"/>
        <v>204.16070334374902</v>
      </c>
      <c r="BD13" s="92">
        <f t="shared" si="37"/>
        <v>3107.6195403309162</v>
      </c>
      <c r="BE13" s="92">
        <f t="shared" si="38"/>
        <v>755.80958905311138</v>
      </c>
      <c r="BF13" s="92">
        <f t="shared" si="39"/>
        <v>564.43655048979542</v>
      </c>
      <c r="BG13" s="92">
        <f t="shared" si="40"/>
        <v>156.11276933105222</v>
      </c>
      <c r="BH13" s="92">
        <f t="shared" si="41"/>
        <v>3341897.3919941825</v>
      </c>
      <c r="BI13" s="92">
        <f t="shared" si="42"/>
        <v>190437.85907694904</v>
      </c>
      <c r="BJ13" s="92">
        <f t="shared" si="43"/>
        <v>5292792.9561715098</v>
      </c>
      <c r="BK13" s="92">
        <f t="shared" si="44"/>
        <v>1090928.6898429969</v>
      </c>
      <c r="BL13" s="92">
        <f t="shared" si="45"/>
        <v>810819.2725971156</v>
      </c>
      <c r="BM13" s="92">
        <f t="shared" si="46"/>
        <v>224257.69904922822</v>
      </c>
    </row>
    <row r="14" spans="1:65" x14ac:dyDescent="0.2">
      <c r="A14" s="90">
        <v>40875</v>
      </c>
      <c r="B14" s="66" t="s">
        <v>544</v>
      </c>
      <c r="C14" s="66" t="s">
        <v>71</v>
      </c>
      <c r="D14" s="67" t="s">
        <v>504</v>
      </c>
      <c r="E14" s="91"/>
      <c r="F14" s="91"/>
      <c r="G14" s="91"/>
      <c r="H14" s="91"/>
      <c r="I14" s="91"/>
      <c r="J14" s="67"/>
      <c r="K14" s="91">
        <v>68108.988250276147</v>
      </c>
      <c r="L14" s="96">
        <v>24982.038643383024</v>
      </c>
      <c r="M14" s="100">
        <v>4429.1434088667256</v>
      </c>
      <c r="N14" s="104">
        <v>35622.048404204143</v>
      </c>
      <c r="O14" s="108">
        <v>2453.9361228305861</v>
      </c>
      <c r="P14" s="112">
        <v>329.25200000000001</v>
      </c>
      <c r="Q14" s="116">
        <v>292.56967099165342</v>
      </c>
      <c r="R14" s="124">
        <f>L14*'Entrada de dades'!$B$8*'Entrada de dades'!$B$11</f>
        <v>2335.3209723834452</v>
      </c>
      <c r="S14" s="124">
        <f>M14*'Entrada de dades'!$B$8*'Entrada de dades'!$B$13</f>
        <v>279.39036623131307</v>
      </c>
      <c r="T14" s="124">
        <f>N14*'Entrada de dades'!$B$8*'Entrada de dades'!$B$12</f>
        <v>8609.136658328056</v>
      </c>
      <c r="U14" s="124">
        <f>O14*'Entrada de dades'!$B$8*'Entrada de dades'!$B$14</f>
        <v>524.06259839170002</v>
      </c>
      <c r="V14" s="124">
        <f>P14*'Entrada de dades'!$B$8*'Entrada de dades'!$B$15</f>
        <v>40.287274720000006</v>
      </c>
      <c r="W14" s="124">
        <f>Q14*'Entrada de dades'!$B$8*'Entrada de dades'!$B$15</f>
        <v>35.798824942538715</v>
      </c>
      <c r="X14" s="124">
        <f>L14*(1-'Entrada de dades'!$B$8)*'Entrada de dades'!$B$11*('Entrada de dades'!$B$8/(1*(1/'Entrada de dades'!$B$8)))</f>
        <v>425.9625453627404</v>
      </c>
      <c r="Y14" s="124">
        <f>M14*(1-'Entrada de dades'!$B$8)*'Entrada de dades'!$B$13*('Entrada de dades'!$B$8/(1*(1/'Entrada de dades'!$B$8)))</f>
        <v>50.960802800591502</v>
      </c>
      <c r="Z14" s="124">
        <f>N14*(1-'Entrada de dades'!$B$8)*'Entrada de dades'!$B$12*('Entrada de dades'!$B$8/(1*(1/'Entrada de dades'!$B$8)))</f>
        <v>1570.3065264790375</v>
      </c>
      <c r="AA14" s="124">
        <f>O14*(1-'Entrada de dades'!$B$8)*'Entrada de dades'!$B$14*('Entrada de dades'!$B$8/(1*(1/'Entrada de dades'!$B$8)))</f>
        <v>95.589017946646081</v>
      </c>
      <c r="AB14" s="124">
        <f>P14*(1-'Entrada de dades'!$B$8)*'Entrada de dades'!$B$15*('Entrada de dades'!$B$8/(1*(1/'Entrada de dades'!$B$8)))</f>
        <v>7.3483989089280008</v>
      </c>
      <c r="AC14" s="124">
        <f>Q14*(1-'Entrada de dades'!$B$8)*'Entrada de dades'!$B$15*('Entrada de dades'!$B$8/(1*(1/'Entrada de dades'!$B$8)))</f>
        <v>6.5297056695190614</v>
      </c>
      <c r="AD14" s="124">
        <f t="shared" si="28"/>
        <v>2761.2835177461857</v>
      </c>
      <c r="AE14" s="124">
        <f t="shared" si="28"/>
        <v>330.35116903190459</v>
      </c>
      <c r="AF14" s="124">
        <f t="shared" si="28"/>
        <v>10179.443184807093</v>
      </c>
      <c r="AG14" s="124">
        <f t="shared" si="28"/>
        <v>619.65161633834612</v>
      </c>
      <c r="AH14" s="124">
        <f t="shared" si="28"/>
        <v>47.635673628928004</v>
      </c>
      <c r="AI14" s="124">
        <f t="shared" si="28"/>
        <v>42.328530612057776</v>
      </c>
      <c r="AJ14" s="124">
        <f>AD14*('[1]Entrada de dades'!$B$19+'[1]Entrada de dades'!$B$20)</f>
        <v>1656.7701106477116</v>
      </c>
      <c r="AK14" s="124">
        <f>AE14*('[1]Entrada de dades'!$B$19+'[1]Entrada de dades'!$B$20)</f>
        <v>198.21070141914279</v>
      </c>
      <c r="AL14" s="124">
        <f>AF14*('[1]Entrada de dades'!$B$19+'[1]Entrada de dades'!$B$20)</f>
        <v>6107.6659108842568</v>
      </c>
      <c r="AM14" s="124">
        <f>AG14*('[1]Entrada de dades'!$B$19+'[1]Entrada de dades'!$B$20)</f>
        <v>371.79096980300773</v>
      </c>
      <c r="AN14" s="124">
        <f>AH14*('[1]Entrada de dades'!$B$19+'[1]Entrada de dades'!$B$20)</f>
        <v>28.581404177356806</v>
      </c>
      <c r="AO14" s="124">
        <f>AI14*('[1]Entrada de dades'!$B$19+'[1]Entrada de dades'!$B$20)</f>
        <v>25.397118367234668</v>
      </c>
      <c r="AP14" s="124">
        <f t="shared" si="29"/>
        <v>1104.5134070984741</v>
      </c>
      <c r="AQ14" s="124">
        <f t="shared" si="29"/>
        <v>132.1404676127618</v>
      </c>
      <c r="AR14" s="124">
        <f t="shared" si="29"/>
        <v>4071.7772739228358</v>
      </c>
      <c r="AS14" s="124">
        <f t="shared" si="29"/>
        <v>247.86064653533839</v>
      </c>
      <c r="AT14" s="124">
        <f t="shared" si="29"/>
        <v>19.054269451571198</v>
      </c>
      <c r="AU14" s="124">
        <f t="shared" si="29"/>
        <v>16.931412244823107</v>
      </c>
      <c r="AV14" s="92">
        <f t="shared" si="30"/>
        <v>2120.2791619365862</v>
      </c>
      <c r="AW14" s="92">
        <f t="shared" si="47"/>
        <v>46.348269015176207</v>
      </c>
      <c r="AX14" s="92">
        <f t="shared" si="31"/>
        <v>13603.400694448808</v>
      </c>
      <c r="AY14" s="92">
        <f t="shared" si="32"/>
        <v>7012.0892277756657</v>
      </c>
      <c r="AZ14" s="92">
        <f t="shared" si="33"/>
        <v>641.64966564124245</v>
      </c>
      <c r="BA14" s="92">
        <f t="shared" si="34"/>
        <v>570.16276763258156</v>
      </c>
      <c r="BB14" s="92">
        <f t="shared" si="35"/>
        <v>233.65981127168223</v>
      </c>
      <c r="BC14" s="92">
        <f t="shared" si="36"/>
        <v>28.017082645595828</v>
      </c>
      <c r="BD14" s="92">
        <f t="shared" si="37"/>
        <v>1096.7332087311163</v>
      </c>
      <c r="BE14" s="92">
        <f t="shared" si="38"/>
        <v>304.00108297559262</v>
      </c>
      <c r="BF14" s="92">
        <f t="shared" si="39"/>
        <v>26.504488807135537</v>
      </c>
      <c r="BG14" s="92">
        <f t="shared" si="40"/>
        <v>23.551594432548946</v>
      </c>
      <c r="BH14" s="92">
        <f t="shared" si="41"/>
        <v>458610.36865138204</v>
      </c>
      <c r="BI14" s="92">
        <f t="shared" si="42"/>
        <v>26133.889378435939</v>
      </c>
      <c r="BJ14" s="92">
        <f t="shared" si="43"/>
        <v>1867919.0700909626</v>
      </c>
      <c r="BK14" s="92">
        <f t="shared" si="44"/>
        <v>438792.39952076151</v>
      </c>
      <c r="BL14" s="92">
        <f t="shared" si="45"/>
        <v>38073.987796345878</v>
      </c>
      <c r="BM14" s="92">
        <f t="shared" si="46"/>
        <v>33832.122759822683</v>
      </c>
    </row>
    <row r="15" spans="1:65" ht="10.5" x14ac:dyDescent="0.25">
      <c r="A15" s="66">
        <v>20804</v>
      </c>
      <c r="B15" s="66" t="s">
        <v>545</v>
      </c>
      <c r="C15" s="66" t="s">
        <v>71</v>
      </c>
      <c r="D15" s="67" t="s">
        <v>505</v>
      </c>
      <c r="E15" s="143"/>
      <c r="F15" s="143"/>
      <c r="G15" s="143"/>
      <c r="H15" s="91"/>
      <c r="I15" s="91"/>
      <c r="K15" s="91">
        <v>47159.488171109246</v>
      </c>
      <c r="L15" s="96">
        <v>22609.140572987078</v>
      </c>
      <c r="M15" s="100">
        <v>4008.4449223086435</v>
      </c>
      <c r="N15" s="104">
        <v>19408.014950091805</v>
      </c>
      <c r="O15" s="108">
        <v>1133.8877257217189</v>
      </c>
      <c r="P15" s="112">
        <v>0</v>
      </c>
      <c r="Q15" s="116">
        <v>0</v>
      </c>
      <c r="R15" s="124">
        <f>L15*'Entrada de dades'!$B$8*'Entrada de dades'!$B$11</f>
        <v>2113.502460762832</v>
      </c>
      <c r="S15" s="124">
        <f>M15*'Entrada de dades'!$B$8*'Entrada de dades'!$B$13</f>
        <v>252.85270569922923</v>
      </c>
      <c r="T15" s="124">
        <f>N15*'Entrada de dades'!$B$8*'Entrada de dades'!$B$12</f>
        <v>4690.5290531381879</v>
      </c>
      <c r="U15" s="124">
        <f>O15*'Entrada de dades'!$B$8*'Entrada de dades'!$B$14</f>
        <v>242.15306270513031</v>
      </c>
      <c r="V15" s="124">
        <f>P15*'Entrada de dades'!$B$8*'Entrada de dades'!$B$15</f>
        <v>0</v>
      </c>
      <c r="W15" s="124">
        <f>Q15*'Entrada de dades'!$B$8*'Entrada de dades'!$B$15</f>
        <v>0</v>
      </c>
      <c r="X15" s="124">
        <f>L15*(1-'Entrada de dades'!$B$8)*'Entrada de dades'!$B$11*('Entrada de dades'!$B$8/(1*(1/'Entrada de dades'!$B$8)))</f>
        <v>385.50284884314055</v>
      </c>
      <c r="Y15" s="124">
        <f>M15*(1-'Entrada de dades'!$B$8)*'Entrada de dades'!$B$13*('Entrada de dades'!$B$8/(1*(1/'Entrada de dades'!$B$8)))</f>
        <v>46.120333519539408</v>
      </c>
      <c r="Z15" s="124">
        <f>N15*(1-'Entrada de dades'!$B$8)*'Entrada de dades'!$B$12*('Entrada de dades'!$B$8/(1*(1/'Entrada de dades'!$B$8)))</f>
        <v>855.55249929240529</v>
      </c>
      <c r="AA15" s="124">
        <f>O15*(1-'Entrada de dades'!$B$8)*'Entrada de dades'!$B$14*('Entrada de dades'!$B$8/(1*(1/'Entrada de dades'!$B$8)))</f>
        <v>44.168718637415772</v>
      </c>
      <c r="AB15" s="124">
        <f>P15*(1-'Entrada de dades'!$B$8)*'Entrada de dades'!$B$15*('Entrada de dades'!$B$8/(1*(1/'Entrada de dades'!$B$8)))</f>
        <v>0</v>
      </c>
      <c r="AC15" s="124">
        <f>Q15*(1-'Entrada de dades'!$B$8)*'Entrada de dades'!$B$15*('Entrada de dades'!$B$8/(1*(1/'Entrada de dades'!$B$8)))</f>
        <v>0</v>
      </c>
      <c r="AD15" s="124">
        <f t="shared" ref="AD15:AI23" si="48">R15+X15</f>
        <v>2499.0053096059728</v>
      </c>
      <c r="AE15" s="124">
        <f t="shared" si="48"/>
        <v>298.97303921876863</v>
      </c>
      <c r="AF15" s="124">
        <f t="shared" si="48"/>
        <v>5546.0815524305935</v>
      </c>
      <c r="AG15" s="124">
        <f t="shared" si="48"/>
        <v>286.3217813425461</v>
      </c>
      <c r="AH15" s="124">
        <f t="shared" si="48"/>
        <v>0</v>
      </c>
      <c r="AI15" s="124">
        <f t="shared" si="48"/>
        <v>0</v>
      </c>
      <c r="AJ15" s="124">
        <f>AD15*('[1]Entrada de dades'!$B$19+'[1]Entrada de dades'!$B$20)</f>
        <v>1499.4031857635839</v>
      </c>
      <c r="AK15" s="124">
        <f>AE15*('[1]Entrada de dades'!$B$19+'[1]Entrada de dades'!$B$20)</f>
        <v>179.38382353126121</v>
      </c>
      <c r="AL15" s="124">
        <f>AF15*('[1]Entrada de dades'!$B$19+'[1]Entrada de dades'!$B$20)</f>
        <v>3327.6489314583564</v>
      </c>
      <c r="AM15" s="124">
        <f>AG15*('[1]Entrada de dades'!$B$19+'[1]Entrada de dades'!$B$20)</f>
        <v>171.7930688055277</v>
      </c>
      <c r="AN15" s="124">
        <f>AH15*('[1]Entrada de dades'!$B$19+'[1]Entrada de dades'!$B$20)</f>
        <v>0</v>
      </c>
      <c r="AO15" s="124">
        <f>AI15*('[1]Entrada de dades'!$B$19+'[1]Entrada de dades'!$B$20)</f>
        <v>0</v>
      </c>
      <c r="AP15" s="124">
        <f t="shared" ref="AP15:AU23" si="49">AD15-AJ15</f>
        <v>999.60212384238889</v>
      </c>
      <c r="AQ15" s="124">
        <f t="shared" si="49"/>
        <v>119.58921568750742</v>
      </c>
      <c r="AR15" s="124">
        <f t="shared" si="49"/>
        <v>2218.4326209722371</v>
      </c>
      <c r="AS15" s="124">
        <f t="shared" si="49"/>
        <v>114.52871253701841</v>
      </c>
      <c r="AT15" s="124">
        <f t="shared" si="49"/>
        <v>0</v>
      </c>
      <c r="AU15" s="124">
        <f t="shared" si="49"/>
        <v>0</v>
      </c>
      <c r="AV15" s="92">
        <f t="shared" si="30"/>
        <v>1918.8862170340421</v>
      </c>
      <c r="AW15" s="92">
        <f t="shared" si="47"/>
        <v>41.945917402393235</v>
      </c>
      <c r="AX15" s="92">
        <f t="shared" si="31"/>
        <v>7411.5615434061492</v>
      </c>
      <c r="AY15" s="92">
        <f t="shared" si="32"/>
        <v>3240.0688155928938</v>
      </c>
      <c r="AZ15" s="92">
        <f t="shared" si="33"/>
        <v>0</v>
      </c>
      <c r="BA15" s="92">
        <f t="shared" si="34"/>
        <v>0</v>
      </c>
      <c r="BB15" s="92">
        <f t="shared" si="35"/>
        <v>211.46582929885744</v>
      </c>
      <c r="BC15" s="92">
        <f t="shared" si="36"/>
        <v>25.355903456143771</v>
      </c>
      <c r="BD15" s="92">
        <f t="shared" si="37"/>
        <v>597.5348264588722</v>
      </c>
      <c r="BE15" s="92">
        <f t="shared" si="38"/>
        <v>140.46946592665313</v>
      </c>
      <c r="BF15" s="92">
        <f t="shared" si="39"/>
        <v>0</v>
      </c>
      <c r="BG15" s="92">
        <f t="shared" si="40"/>
        <v>0</v>
      </c>
      <c r="BH15" s="92">
        <f t="shared" si="41"/>
        <v>415049.6459108991</v>
      </c>
      <c r="BI15" s="92">
        <f t="shared" si="42"/>
        <v>23651.583728234047</v>
      </c>
      <c r="BJ15" s="92">
        <f t="shared" si="43"/>
        <v>1017701.1952408788</v>
      </c>
      <c r="BK15" s="92">
        <f t="shared" si="44"/>
        <v>202752.35012338634</v>
      </c>
      <c r="BL15" s="92">
        <f t="shared" si="45"/>
        <v>0</v>
      </c>
      <c r="BM15" s="92">
        <f t="shared" si="46"/>
        <v>0</v>
      </c>
    </row>
    <row r="16" spans="1:65" ht="10.5" x14ac:dyDescent="0.25">
      <c r="A16" s="66">
        <v>78192</v>
      </c>
      <c r="B16" s="66" t="s">
        <v>546</v>
      </c>
      <c r="C16" s="66" t="s">
        <v>71</v>
      </c>
      <c r="D16" s="67" t="s">
        <v>502</v>
      </c>
      <c r="E16" s="143"/>
      <c r="F16" s="143"/>
      <c r="G16" s="143"/>
      <c r="H16" s="91"/>
      <c r="I16" s="91"/>
      <c r="K16" s="91">
        <v>117256.34325502283</v>
      </c>
      <c r="L16" s="96">
        <v>48042.382006505817</v>
      </c>
      <c r="M16" s="100">
        <v>8517.5834785898569</v>
      </c>
      <c r="N16" s="104">
        <v>57379.775856115244</v>
      </c>
      <c r="O16" s="108">
        <v>1980.0725956633005</v>
      </c>
      <c r="P16" s="112">
        <v>767.64099999999996</v>
      </c>
      <c r="Q16" s="116">
        <v>568.88831814860646</v>
      </c>
      <c r="R16" s="124">
        <f>L16*'Entrada de dades'!$B$8*'Entrada de dades'!$B$11</f>
        <v>4491.0018699681632</v>
      </c>
      <c r="S16" s="124">
        <f>M16*'Entrada de dades'!$B$8*'Entrada de dades'!$B$13</f>
        <v>537.28916582944828</v>
      </c>
      <c r="T16" s="124">
        <f>N16*'Entrada de dades'!$B$8*'Entrada de dades'!$B$12</f>
        <v>13867.544228905932</v>
      </c>
      <c r="U16" s="124">
        <f>O16*'Entrada de dades'!$B$8*'Entrada de dades'!$B$14</f>
        <v>422.86430352985445</v>
      </c>
      <c r="V16" s="124">
        <f>P16*'Entrada de dades'!$B$8*'Entrada de dades'!$B$15</f>
        <v>93.928552760000002</v>
      </c>
      <c r="W16" s="124">
        <f>Q16*'Entrada de dades'!$B$8*'Entrada de dades'!$B$15</f>
        <v>69.609174608663494</v>
      </c>
      <c r="X16" s="124">
        <f>L16*(1-'Entrada de dades'!$B$8)*'Entrada de dades'!$B$11*('Entrada de dades'!$B$8/(1*(1/'Entrada de dades'!$B$8)))</f>
        <v>819.15874108219305</v>
      </c>
      <c r="Y16" s="124">
        <f>M16*(1-'Entrada de dades'!$B$8)*'Entrada de dades'!$B$13*('Entrada de dades'!$B$8/(1*(1/'Entrada de dades'!$B$8)))</f>
        <v>98.001543847291344</v>
      </c>
      <c r="Z16" s="124">
        <f>N16*(1-'Entrada de dades'!$B$8)*'Entrada de dades'!$B$12*('Entrada de dades'!$B$8/(1*(1/'Entrada de dades'!$B$8)))</f>
        <v>2529.4400673524419</v>
      </c>
      <c r="AA16" s="124">
        <f>O16*(1-'Entrada de dades'!$B$8)*'Entrada de dades'!$B$14*('Entrada de dades'!$B$8/(1*(1/'Entrada de dades'!$B$8)))</f>
        <v>77.130448963845453</v>
      </c>
      <c r="AB16" s="124">
        <f>P16*(1-'Entrada de dades'!$B$8)*'Entrada de dades'!$B$15*('Entrada de dades'!$B$8/(1*(1/'Entrada de dades'!$B$8)))</f>
        <v>17.132568023424</v>
      </c>
      <c r="AC16" s="124">
        <f>Q16*(1-'Entrada de dades'!$B$8)*'Entrada de dades'!$B$15*('Entrada de dades'!$B$8/(1*(1/'Entrada de dades'!$B$8)))</f>
        <v>12.696713448620221</v>
      </c>
      <c r="AD16" s="124">
        <f t="shared" si="48"/>
        <v>5310.1606110503562</v>
      </c>
      <c r="AE16" s="124">
        <f t="shared" si="48"/>
        <v>635.29070967673965</v>
      </c>
      <c r="AF16" s="124">
        <f t="shared" si="48"/>
        <v>16396.984296258375</v>
      </c>
      <c r="AG16" s="124">
        <f t="shared" si="48"/>
        <v>499.99475249369993</v>
      </c>
      <c r="AH16" s="124">
        <f t="shared" si="48"/>
        <v>111.061120783424</v>
      </c>
      <c r="AI16" s="124">
        <f t="shared" si="48"/>
        <v>82.30588805728371</v>
      </c>
      <c r="AJ16" s="124">
        <f>AD16*('[1]Entrada de dades'!$B$19+'[1]Entrada de dades'!$B$20)</f>
        <v>3186.0963666302141</v>
      </c>
      <c r="AK16" s="124">
        <f>AE16*('[1]Entrada de dades'!$B$19+'[1]Entrada de dades'!$B$20)</f>
        <v>381.17442580604387</v>
      </c>
      <c r="AL16" s="124">
        <f>AF16*('[1]Entrada de dades'!$B$19+'[1]Entrada de dades'!$B$20)</f>
        <v>9838.1905777550273</v>
      </c>
      <c r="AM16" s="124">
        <f>AG16*('[1]Entrada de dades'!$B$19+'[1]Entrada de dades'!$B$20)</f>
        <v>299.99685149622002</v>
      </c>
      <c r="AN16" s="124">
        <f>AH16*('[1]Entrada de dades'!$B$19+'[1]Entrada de dades'!$B$20)</f>
        <v>66.636672470054407</v>
      </c>
      <c r="AO16" s="124">
        <f>AI16*('[1]Entrada de dades'!$B$19+'[1]Entrada de dades'!$B$20)</f>
        <v>49.383532834370236</v>
      </c>
      <c r="AP16" s="124">
        <f t="shared" si="49"/>
        <v>2124.0642444201421</v>
      </c>
      <c r="AQ16" s="124">
        <f t="shared" si="49"/>
        <v>254.11628387069578</v>
      </c>
      <c r="AR16" s="124">
        <f t="shared" si="49"/>
        <v>6558.7937185033479</v>
      </c>
      <c r="AS16" s="124">
        <f t="shared" si="49"/>
        <v>199.99790099747992</v>
      </c>
      <c r="AT16" s="124">
        <f t="shared" si="49"/>
        <v>44.424448313369595</v>
      </c>
      <c r="AU16" s="124">
        <f t="shared" si="49"/>
        <v>32.922355222913474</v>
      </c>
      <c r="AV16" s="92">
        <f t="shared" si="30"/>
        <v>4077.459926801127</v>
      </c>
      <c r="AW16" s="92">
        <f t="shared" si="47"/>
        <v>89.131286567646555</v>
      </c>
      <c r="AX16" s="92">
        <f t="shared" si="31"/>
        <v>21912.273934147845</v>
      </c>
      <c r="AY16" s="92">
        <f t="shared" si="32"/>
        <v>5658.030618274157</v>
      </c>
      <c r="AZ16" s="92">
        <f t="shared" si="33"/>
        <v>1495.9866332854742</v>
      </c>
      <c r="BA16" s="92">
        <f t="shared" si="34"/>
        <v>1108.6553737783281</v>
      </c>
      <c r="BB16" s="92">
        <f t="shared" si="35"/>
        <v>449.3457909070811</v>
      </c>
      <c r="BC16" s="92">
        <f t="shared" si="36"/>
        <v>53.879005087684291</v>
      </c>
      <c r="BD16" s="92">
        <f t="shared" si="37"/>
        <v>1766.6110880788774</v>
      </c>
      <c r="BE16" s="92">
        <f t="shared" si="38"/>
        <v>245.29742557340921</v>
      </c>
      <c r="BF16" s="92">
        <f t="shared" si="39"/>
        <v>61.794407603897113</v>
      </c>
      <c r="BG16" s="92">
        <f t="shared" si="40"/>
        <v>45.794996115072649</v>
      </c>
      <c r="BH16" s="92">
        <f t="shared" si="41"/>
        <v>881943.0166372729</v>
      </c>
      <c r="BI16" s="92">
        <f t="shared" si="42"/>
        <v>50257.479573915276</v>
      </c>
      <c r="BJ16" s="92">
        <f t="shared" si="43"/>
        <v>3008832.5169569175</v>
      </c>
      <c r="BK16" s="92">
        <f t="shared" si="44"/>
        <v>354060.07409606274</v>
      </c>
      <c r="BL16" s="92">
        <f t="shared" si="45"/>
        <v>88768.341774612578</v>
      </c>
      <c r="BM16" s="92">
        <f t="shared" si="46"/>
        <v>65785.012339101275</v>
      </c>
    </row>
    <row r="17" spans="1:65" ht="10.5" x14ac:dyDescent="0.25">
      <c r="A17" s="66">
        <v>28667</v>
      </c>
      <c r="B17" s="66" t="s">
        <v>547</v>
      </c>
      <c r="C17" s="66" t="s">
        <v>71</v>
      </c>
      <c r="D17" s="67" t="s">
        <v>167</v>
      </c>
      <c r="E17" s="143"/>
      <c r="F17" s="143"/>
      <c r="G17" s="143"/>
      <c r="H17" s="91"/>
      <c r="I17" s="91"/>
      <c r="K17" s="91">
        <v>56497.308491056086</v>
      </c>
      <c r="L17" s="96">
        <v>32843.133045985574</v>
      </c>
      <c r="M17" s="100">
        <v>5822.861309827078</v>
      </c>
      <c r="N17" s="104">
        <v>16468.331343919621</v>
      </c>
      <c r="O17" s="108">
        <v>1040.8073900281449</v>
      </c>
      <c r="P17" s="112">
        <v>115.824</v>
      </c>
      <c r="Q17" s="116">
        <v>206.3514012956619</v>
      </c>
      <c r="R17" s="124">
        <f>L17*'Entrada de dades'!$B$8*'Entrada de dades'!$B$11</f>
        <v>3070.1760771387317</v>
      </c>
      <c r="S17" s="124">
        <f>M17*'Entrada de dades'!$B$8*'Entrada de dades'!$B$13</f>
        <v>367.3060914238921</v>
      </c>
      <c r="T17" s="124">
        <f>N17*'Entrada de dades'!$B$8*'Entrada de dades'!$B$12</f>
        <v>3980.0663191984941</v>
      </c>
      <c r="U17" s="124">
        <f>O17*'Entrada de dades'!$B$8*'Entrada de dades'!$B$14</f>
        <v>222.27482621441064</v>
      </c>
      <c r="V17" s="124">
        <f>P17*'Entrada de dades'!$B$8*'Entrada de dades'!$B$15</f>
        <v>14.172224640000001</v>
      </c>
      <c r="W17" s="124">
        <f>Q17*'Entrada de dades'!$B$8*'Entrada de dades'!$B$15</f>
        <v>25.249157462537191</v>
      </c>
      <c r="X17" s="124">
        <f>L17*(1-'Entrada de dades'!$B$8)*'Entrada de dades'!$B$11*('Entrada de dades'!$B$8/(1*(1/'Entrada de dades'!$B$8)))</f>
        <v>560.00011647010456</v>
      </c>
      <c r="Y17" s="124">
        <f>M17*(1-'Entrada de dades'!$B$8)*'Entrada de dades'!$B$13*('Entrada de dades'!$B$8/(1*(1/'Entrada de dades'!$B$8)))</f>
        <v>66.996631075717914</v>
      </c>
      <c r="Z17" s="124">
        <f>N17*(1-'Entrada de dades'!$B$8)*'Entrada de dades'!$B$12*('Entrada de dades'!$B$8/(1*(1/'Entrada de dades'!$B$8)))</f>
        <v>725.96409662180531</v>
      </c>
      <c r="AA17" s="124">
        <f>O17*(1-'Entrada de dades'!$B$8)*'Entrada de dades'!$B$14*('Entrada de dades'!$B$8/(1*(1/'Entrada de dades'!$B$8)))</f>
        <v>40.542928301508503</v>
      </c>
      <c r="AB17" s="124">
        <f>P17*(1-'Entrada de dades'!$B$8)*'Entrada de dades'!$B$15*('Entrada de dades'!$B$8/(1*(1/'Entrada de dades'!$B$8)))</f>
        <v>2.5850137743360002</v>
      </c>
      <c r="AC17" s="124">
        <f>Q17*(1-'Entrada de dades'!$B$8)*'Entrada de dades'!$B$15*('Entrada de dades'!$B$8/(1*(1/'Entrada de dades'!$B$8)))</f>
        <v>4.6054463211667835</v>
      </c>
      <c r="AD17" s="124">
        <f t="shared" si="48"/>
        <v>3630.176193608836</v>
      </c>
      <c r="AE17" s="124">
        <f t="shared" si="48"/>
        <v>434.30272249961001</v>
      </c>
      <c r="AF17" s="124">
        <f t="shared" si="48"/>
        <v>4706.0304158202998</v>
      </c>
      <c r="AG17" s="124">
        <f t="shared" si="48"/>
        <v>262.81775451591915</v>
      </c>
      <c r="AH17" s="124">
        <f t="shared" si="48"/>
        <v>16.757238414336001</v>
      </c>
      <c r="AI17" s="124">
        <f t="shared" si="48"/>
        <v>29.854603783703975</v>
      </c>
      <c r="AJ17" s="124">
        <f>AD17*('[1]Entrada de dades'!$B$19+'[1]Entrada de dades'!$B$20)</f>
        <v>2178.1057161653021</v>
      </c>
      <c r="AK17" s="124">
        <f>AE17*('[1]Entrada de dades'!$B$19+'[1]Entrada de dades'!$B$20)</f>
        <v>260.58163349976604</v>
      </c>
      <c r="AL17" s="124">
        <f>AF17*('[1]Entrada de dades'!$B$19+'[1]Entrada de dades'!$B$20)</f>
        <v>2823.6182494921804</v>
      </c>
      <c r="AM17" s="124">
        <f>AG17*('[1]Entrada de dades'!$B$19+'[1]Entrada de dades'!$B$20)</f>
        <v>157.6906527095515</v>
      </c>
      <c r="AN17" s="124">
        <f>AH17*('[1]Entrada de dades'!$B$19+'[1]Entrada de dades'!$B$20)</f>
        <v>10.054343048601602</v>
      </c>
      <c r="AO17" s="124">
        <f>AI17*('[1]Entrada de dades'!$B$19+'[1]Entrada de dades'!$B$20)</f>
        <v>17.912762270222387</v>
      </c>
      <c r="AP17" s="124">
        <f t="shared" si="49"/>
        <v>1452.0704774435339</v>
      </c>
      <c r="AQ17" s="124">
        <f t="shared" si="49"/>
        <v>173.72108899984397</v>
      </c>
      <c r="AR17" s="124">
        <f t="shared" si="49"/>
        <v>1882.4121663281194</v>
      </c>
      <c r="AS17" s="124">
        <f t="shared" si="49"/>
        <v>105.12710180636765</v>
      </c>
      <c r="AT17" s="124">
        <f t="shared" si="49"/>
        <v>6.702895365734399</v>
      </c>
      <c r="AU17" s="124">
        <f t="shared" si="49"/>
        <v>11.941841513481588</v>
      </c>
      <c r="AV17" s="92">
        <f t="shared" si="30"/>
        <v>2787.4670920244807</v>
      </c>
      <c r="AW17" s="92">
        <f t="shared" si="47"/>
        <v>60.932671966695274</v>
      </c>
      <c r="AX17" s="92">
        <f t="shared" si="31"/>
        <v>6288.9508064856163</v>
      </c>
      <c r="AY17" s="92">
        <f t="shared" si="32"/>
        <v>2974.0930172979542</v>
      </c>
      <c r="AZ17" s="92">
        <f t="shared" si="33"/>
        <v>225.71899600680109</v>
      </c>
      <c r="BA17" s="92">
        <f t="shared" si="34"/>
        <v>402.13972169026556</v>
      </c>
      <c r="BB17" s="92">
        <f t="shared" si="35"/>
        <v>307.18550950317973</v>
      </c>
      <c r="BC17" s="92">
        <f t="shared" si="36"/>
        <v>36.833213895191925</v>
      </c>
      <c r="BD17" s="92">
        <f t="shared" si="37"/>
        <v>507.02771700047913</v>
      </c>
      <c r="BE17" s="92">
        <f t="shared" si="38"/>
        <v>128.93839036550992</v>
      </c>
      <c r="BF17" s="92">
        <f t="shared" si="39"/>
        <v>9.3237274537365504</v>
      </c>
      <c r="BG17" s="92">
        <f t="shared" si="40"/>
        <v>16.611101545252893</v>
      </c>
      <c r="BH17" s="92">
        <f t="shared" si="41"/>
        <v>602921.22548114567</v>
      </c>
      <c r="BI17" s="92">
        <f t="shared" si="42"/>
        <v>34357.436481365105</v>
      </c>
      <c r="BJ17" s="92">
        <f t="shared" si="43"/>
        <v>863552.53411686746</v>
      </c>
      <c r="BK17" s="92">
        <f t="shared" si="44"/>
        <v>186108.50048639189</v>
      </c>
      <c r="BL17" s="92">
        <f t="shared" si="45"/>
        <v>13393.636371302116</v>
      </c>
      <c r="BM17" s="92">
        <f t="shared" si="46"/>
        <v>23862.028885746789</v>
      </c>
    </row>
    <row r="18" spans="1:65" ht="10.5" x14ac:dyDescent="0.25">
      <c r="A18" s="66">
        <v>23848</v>
      </c>
      <c r="B18" s="66" t="s">
        <v>548</v>
      </c>
      <c r="C18" s="66" t="s">
        <v>71</v>
      </c>
      <c r="D18" s="67" t="s">
        <v>171</v>
      </c>
      <c r="E18" s="143"/>
      <c r="F18" s="143"/>
      <c r="G18" s="143"/>
      <c r="H18" s="91"/>
      <c r="I18" s="91"/>
      <c r="K18" s="91">
        <v>24607.705151317426</v>
      </c>
      <c r="L18" s="96">
        <v>8760.5332106870046</v>
      </c>
      <c r="M18" s="100">
        <v>1553.1822075117063</v>
      </c>
      <c r="N18" s="104">
        <v>13477.788159785976</v>
      </c>
      <c r="O18" s="108">
        <v>550.02016546202788</v>
      </c>
      <c r="P18" s="112">
        <v>94.045000000000002</v>
      </c>
      <c r="Q18" s="116">
        <v>172.13640787071159</v>
      </c>
      <c r="R18" s="124">
        <f>L18*'Entrada de dades'!$B$8*'Entrada de dades'!$B$11</f>
        <v>818.93464453502122</v>
      </c>
      <c r="S18" s="124">
        <f>M18*'Entrada de dades'!$B$8*'Entrada de dades'!$B$13</f>
        <v>97.974733649838456</v>
      </c>
      <c r="T18" s="124">
        <f>N18*'Entrada de dades'!$B$8*'Entrada de dades'!$B$12</f>
        <v>3257.3118424570748</v>
      </c>
      <c r="U18" s="124">
        <f>O18*'Entrada de dades'!$B$8*'Entrada de dades'!$B$14</f>
        <v>117.46230653607068</v>
      </c>
      <c r="V18" s="124">
        <f>P18*'Entrada de dades'!$B$8*'Entrada de dades'!$B$15</f>
        <v>11.507346199999999</v>
      </c>
      <c r="W18" s="124">
        <f>Q18*'Entrada de dades'!$B$8*'Entrada de dades'!$B$15</f>
        <v>21.062610867060272</v>
      </c>
      <c r="X18" s="124">
        <f>L18*(1-'Entrada de dades'!$B$8)*'Entrada de dades'!$B$11*('Entrada de dades'!$B$8/(1*(1/'Entrada de dades'!$B$8)))</f>
        <v>149.37367916318783</v>
      </c>
      <c r="Y18" s="124">
        <f>M18*(1-'Entrada de dades'!$B$8)*'Entrada de dades'!$B$13*('Entrada de dades'!$B$8/(1*(1/'Entrada de dades'!$B$8)))</f>
        <v>17.87059141773053</v>
      </c>
      <c r="Z18" s="124">
        <f>N18*(1-'Entrada de dades'!$B$8)*'Entrada de dades'!$B$12*('Entrada de dades'!$B$8/(1*(1/'Entrada de dades'!$B$8)))</f>
        <v>594.13368006417033</v>
      </c>
      <c r="AA18" s="124">
        <f>O18*(1-'Entrada de dades'!$B$8)*'Entrada de dades'!$B$14*('Entrada de dades'!$B$8/(1*(1/'Entrada de dades'!$B$8)))</f>
        <v>21.425124712179294</v>
      </c>
      <c r="AB18" s="124">
        <f>P18*(1-'Entrada de dades'!$B$8)*'Entrada de dades'!$B$15*('Entrada de dades'!$B$8/(1*(1/'Entrada de dades'!$B$8)))</f>
        <v>2.0989399468799999</v>
      </c>
      <c r="AC18" s="124">
        <f>Q18*(1-'Entrada de dades'!$B$8)*'Entrada de dades'!$B$15*('Entrada de dades'!$B$8/(1*(1/'Entrada de dades'!$B$8)))</f>
        <v>3.8418202221517932</v>
      </c>
      <c r="AD18" s="124">
        <f t="shared" si="48"/>
        <v>968.30832369820905</v>
      </c>
      <c r="AE18" s="124">
        <f t="shared" si="48"/>
        <v>115.84532506756898</v>
      </c>
      <c r="AF18" s="124">
        <f t="shared" si="48"/>
        <v>3851.445522521245</v>
      </c>
      <c r="AG18" s="124">
        <f>U18+AA18</f>
        <v>138.88743124824998</v>
      </c>
      <c r="AH18" s="124">
        <f>V18+AB18</f>
        <v>13.606286146879999</v>
      </c>
      <c r="AI18" s="124">
        <f>W18+AC18</f>
        <v>24.904431089212064</v>
      </c>
      <c r="AJ18" s="124">
        <f>AD18*('[1]Entrada de dades'!$B$19+'[1]Entrada de dades'!$B$20)</f>
        <v>580.98499421892552</v>
      </c>
      <c r="AK18" s="124">
        <f>AE18*('[1]Entrada de dades'!$B$19+'[1]Entrada de dades'!$B$20)</f>
        <v>69.507195040541404</v>
      </c>
      <c r="AL18" s="124">
        <f>AF18*('[1]Entrada de dades'!$B$19+'[1]Entrada de dades'!$B$20)</f>
        <v>2310.8673135127474</v>
      </c>
      <c r="AM18" s="124">
        <f>AG18*('[1]Entrada de dades'!$B$19+'[1]Entrada de dades'!$B$20)</f>
        <v>83.332458748950003</v>
      </c>
      <c r="AN18" s="124">
        <f>AH18*('[1]Entrada de dades'!$B$19+'[1]Entrada de dades'!$B$20)</f>
        <v>8.1637716881279996</v>
      </c>
      <c r="AO18" s="124">
        <f>AI18*('[1]Entrada de dades'!$B$19+'[1]Entrada de dades'!$B$20)</f>
        <v>14.942658653527241</v>
      </c>
      <c r="AP18" s="124">
        <f t="shared" ref="AP18:AU18" si="50">AD18-AJ18</f>
        <v>387.32332947928353</v>
      </c>
      <c r="AQ18" s="124">
        <f t="shared" si="50"/>
        <v>46.338130027027574</v>
      </c>
      <c r="AR18" s="124">
        <f t="shared" si="50"/>
        <v>1540.5782090084977</v>
      </c>
      <c r="AS18" s="124">
        <f t="shared" si="50"/>
        <v>55.554972499299978</v>
      </c>
      <c r="AT18" s="124">
        <f t="shared" si="50"/>
        <v>5.4425144587519991</v>
      </c>
      <c r="AU18" s="124">
        <f t="shared" si="50"/>
        <v>9.9617724356848232</v>
      </c>
      <c r="AV18" s="92">
        <f t="shared" si="30"/>
        <v>743.52522943490681</v>
      </c>
      <c r="AW18" s="92">
        <f t="shared" si="47"/>
        <v>16.253099106979924</v>
      </c>
      <c r="AX18" s="92">
        <f t="shared" si="31"/>
        <v>5146.9177384764916</v>
      </c>
      <c r="AY18" s="92">
        <f t="shared" si="32"/>
        <v>1571.6751717428215</v>
      </c>
      <c r="AZ18" s="92">
        <f t="shared" si="33"/>
        <v>183.27585802130477</v>
      </c>
      <c r="BA18" s="92">
        <f t="shared" si="34"/>
        <v>335.46119250582115</v>
      </c>
      <c r="BB18" s="92">
        <f t="shared" si="35"/>
        <v>81.938250351342447</v>
      </c>
      <c r="BC18" s="92">
        <f t="shared" si="36"/>
        <v>9.8248420189805259</v>
      </c>
      <c r="BD18" s="92">
        <f t="shared" si="37"/>
        <v>414.95474059643897</v>
      </c>
      <c r="BE18" s="92">
        <f t="shared" si="38"/>
        <v>68.138173770391447</v>
      </c>
      <c r="BF18" s="92">
        <f t="shared" si="39"/>
        <v>7.5705376121240313</v>
      </c>
      <c r="BG18" s="92">
        <f t="shared" si="40"/>
        <v>13.856825458037591</v>
      </c>
      <c r="BH18" s="92">
        <f t="shared" si="41"/>
        <v>160822.39815124136</v>
      </c>
      <c r="BI18" s="92">
        <f t="shared" si="42"/>
        <v>9164.4564758068464</v>
      </c>
      <c r="BJ18" s="92">
        <f t="shared" si="43"/>
        <v>706736.94113949907</v>
      </c>
      <c r="BK18" s="92">
        <f t="shared" si="44"/>
        <v>98350.020582239653</v>
      </c>
      <c r="BL18" s="92">
        <f t="shared" si="45"/>
        <v>10875.160006035943</v>
      </c>
      <c r="BM18" s="92">
        <f t="shared" si="46"/>
        <v>19905.481189412028</v>
      </c>
    </row>
    <row r="19" spans="1:65" x14ac:dyDescent="0.2">
      <c r="A19" s="66">
        <v>129120</v>
      </c>
      <c r="B19" s="66" t="s">
        <v>549</v>
      </c>
      <c r="C19" s="66" t="s">
        <v>71</v>
      </c>
      <c r="D19" s="67" t="s">
        <v>175</v>
      </c>
      <c r="E19" s="91"/>
      <c r="F19" s="91"/>
      <c r="G19" s="91"/>
      <c r="H19" s="91"/>
      <c r="I19" s="91"/>
      <c r="J19" s="67"/>
      <c r="K19" s="91">
        <v>235385.0160735528</v>
      </c>
      <c r="L19" s="96">
        <v>131356.58422763154</v>
      </c>
      <c r="M19" s="100">
        <v>23288.617776482435</v>
      </c>
      <c r="N19" s="104">
        <v>75699.395837831878</v>
      </c>
      <c r="O19" s="108">
        <v>3003.9562882926139</v>
      </c>
      <c r="P19" s="112">
        <v>1097.5261</v>
      </c>
      <c r="Q19" s="116">
        <v>938.93584331434499</v>
      </c>
      <c r="R19" s="124">
        <f>L19*'Entrada de dades'!$B$8*'Entrada de dades'!$B$11</f>
        <v>12279.213493598996</v>
      </c>
      <c r="S19" s="124">
        <f>M19*'Entrada de dades'!$B$8*'Entrada de dades'!$B$13</f>
        <v>1469.0460093405122</v>
      </c>
      <c r="T19" s="124">
        <f>N19*'Entrada de dades'!$B$8*'Entrada de dades'!$B$12</f>
        <v>18295.029986087207</v>
      </c>
      <c r="U19" s="124">
        <f>O19*'Entrada de dades'!$B$8*'Entrada de dades'!$B$14</f>
        <v>641.52490492777076</v>
      </c>
      <c r="V19" s="124">
        <f>P19*'Entrada de dades'!$B$8*'Entrada de dades'!$B$15</f>
        <v>134.29329359600001</v>
      </c>
      <c r="W19" s="124">
        <f>Q19*'Entrada de dades'!$B$8*'Entrada de dades'!$B$15</f>
        <v>114.88818978794326</v>
      </c>
      <c r="X19" s="124">
        <f>L19*(1-'Entrada de dades'!$B$8)*'Entrada de dades'!$B$11*('Entrada de dades'!$B$8/(1*(1/'Entrada de dades'!$B$8)))</f>
        <v>2239.7285412324568</v>
      </c>
      <c r="Y19" s="124">
        <f>M19*(1-'Entrada de dades'!$B$8)*'Entrada de dades'!$B$13*('Entrada de dades'!$B$8/(1*(1/'Entrada de dades'!$B$8)))</f>
        <v>267.95399210370942</v>
      </c>
      <c r="Z19" s="124">
        <f>N19*(1-'Entrada de dades'!$B$8)*'Entrada de dades'!$B$12*('Entrada de dades'!$B$8/(1*(1/'Entrada de dades'!$B$8)))</f>
        <v>3337.0134694623066</v>
      </c>
      <c r="AA19" s="124">
        <f>O19*(1-'Entrada de dades'!$B$8)*'Entrada de dades'!$B$14*('Entrada de dades'!$B$8/(1*(1/'Entrada de dades'!$B$8)))</f>
        <v>117.01414265882536</v>
      </c>
      <c r="AB19" s="124">
        <f>P19*(1-'Entrada de dades'!$B$8)*'Entrada de dades'!$B$15*('Entrada de dades'!$B$8/(1*(1/'Entrada de dades'!$B$8)))</f>
        <v>24.495096751910406</v>
      </c>
      <c r="AC19" s="124">
        <f>Q19*(1-'Entrada de dades'!$B$8)*'Entrada de dades'!$B$15*('Entrada de dades'!$B$8/(1*(1/'Entrada de dades'!$B$8)))</f>
        <v>20.955605817320848</v>
      </c>
      <c r="AD19" s="124">
        <f t="shared" si="48"/>
        <v>14518.942034831452</v>
      </c>
      <c r="AE19" s="124">
        <f t="shared" si="48"/>
        <v>1737.0000014442217</v>
      </c>
      <c r="AF19" s="124">
        <f t="shared" si="48"/>
        <v>21632.043455549516</v>
      </c>
      <c r="AG19" s="124">
        <f t="shared" si="48"/>
        <v>758.5390475865961</v>
      </c>
      <c r="AH19" s="124">
        <f t="shared" si="48"/>
        <v>158.78839034791042</v>
      </c>
      <c r="AI19" s="124">
        <f t="shared" si="48"/>
        <v>135.84379560526412</v>
      </c>
      <c r="AJ19" s="124">
        <f>AD19*('[1]Entrada de dades'!$B$19+'[1]Entrada de dades'!$B$20)</f>
        <v>8711.3652208988733</v>
      </c>
      <c r="AK19" s="124">
        <f>AE19*('[1]Entrada de dades'!$B$19+'[1]Entrada de dades'!$B$20)</f>
        <v>1042.2000008665332</v>
      </c>
      <c r="AL19" s="124">
        <f>AF19*('[1]Entrada de dades'!$B$19+'[1]Entrada de dades'!$B$20)</f>
        <v>12979.226073329712</v>
      </c>
      <c r="AM19" s="124">
        <f>AG19*('[1]Entrada de dades'!$B$19+'[1]Entrada de dades'!$B$20)</f>
        <v>455.12342855195772</v>
      </c>
      <c r="AN19" s="124">
        <f>AH19*('[1]Entrada de dades'!$B$19+'[1]Entrada de dades'!$B$20)</f>
        <v>95.273034208746267</v>
      </c>
      <c r="AO19" s="124">
        <f>AI19*('[1]Entrada de dades'!$B$19+'[1]Entrada de dades'!$B$20)</f>
        <v>81.506277363158489</v>
      </c>
      <c r="AP19" s="124">
        <f t="shared" ref="AP19:AU41" si="51">AD19-AJ19</f>
        <v>5807.5768139325792</v>
      </c>
      <c r="AQ19" s="124">
        <f t="shared" si="49"/>
        <v>694.80000057768848</v>
      </c>
      <c r="AR19" s="124">
        <f t="shared" si="49"/>
        <v>8652.8173822198041</v>
      </c>
      <c r="AS19" s="124">
        <f t="shared" si="49"/>
        <v>303.41561903463838</v>
      </c>
      <c r="AT19" s="124">
        <f t="shared" si="49"/>
        <v>63.515356139164155</v>
      </c>
      <c r="AU19" s="124">
        <f t="shared" si="49"/>
        <v>54.337518242105631</v>
      </c>
      <c r="AV19" s="92">
        <f t="shared" si="30"/>
        <v>11148.514830865679</v>
      </c>
      <c r="AW19" s="92">
        <f t="shared" si="47"/>
        <v>243.70110020262427</v>
      </c>
      <c r="AX19" s="92">
        <f t="shared" si="31"/>
        <v>28908.197592258155</v>
      </c>
      <c r="AY19" s="92">
        <f t="shared" si="32"/>
        <v>8583.7643995184881</v>
      </c>
      <c r="AZ19" s="92">
        <f t="shared" si="33"/>
        <v>2138.8700906829326</v>
      </c>
      <c r="BA19" s="92">
        <f t="shared" si="34"/>
        <v>1829.8077761751713</v>
      </c>
      <c r="BB19" s="92">
        <f t="shared" si="35"/>
        <v>1228.5928749874377</v>
      </c>
      <c r="BC19" s="92">
        <f t="shared" si="36"/>
        <v>147.31497012248445</v>
      </c>
      <c r="BD19" s="92">
        <f t="shared" si="37"/>
        <v>2330.6363619009048</v>
      </c>
      <c r="BE19" s="92">
        <f t="shared" si="38"/>
        <v>372.13925674598408</v>
      </c>
      <c r="BF19" s="92">
        <f t="shared" si="39"/>
        <v>88.349860389577358</v>
      </c>
      <c r="BG19" s="92">
        <f t="shared" si="40"/>
        <v>75.583487874768963</v>
      </c>
      <c r="BH19" s="92">
        <f t="shared" si="41"/>
        <v>2411392.1356604951</v>
      </c>
      <c r="BI19" s="92">
        <f t="shared" si="42"/>
        <v>137413.06265425158</v>
      </c>
      <c r="BJ19" s="92">
        <f t="shared" si="43"/>
        <v>3969461.3705359646</v>
      </c>
      <c r="BK19" s="92">
        <f t="shared" si="44"/>
        <v>537142.42010300118</v>
      </c>
      <c r="BL19" s="92">
        <f t="shared" si="45"/>
        <v>126915.5398830412</v>
      </c>
      <c r="BM19" s="92">
        <f t="shared" si="46"/>
        <v>108576.5062623829</v>
      </c>
    </row>
    <row r="20" spans="1:65" x14ac:dyDescent="0.2">
      <c r="A20" s="90">
        <v>26104</v>
      </c>
      <c r="B20" s="66" t="s">
        <v>550</v>
      </c>
      <c r="C20" s="66" t="s">
        <v>71</v>
      </c>
      <c r="D20" s="67" t="s">
        <v>179</v>
      </c>
      <c r="E20" s="91"/>
      <c r="F20" s="91"/>
      <c r="G20" s="91"/>
      <c r="H20" s="91"/>
      <c r="I20" s="91"/>
      <c r="J20" s="67"/>
      <c r="K20" s="91">
        <v>38099.31850668144</v>
      </c>
      <c r="L20" s="96">
        <v>16237.647188300918</v>
      </c>
      <c r="M20" s="100">
        <v>2878.8230234611151</v>
      </c>
      <c r="N20" s="104">
        <v>16814.176474057524</v>
      </c>
      <c r="O20" s="108">
        <v>1294.6628510106195</v>
      </c>
      <c r="P20" s="112">
        <v>684.64794077196575</v>
      </c>
      <c r="Q20" s="116">
        <v>189.36102907929268</v>
      </c>
      <c r="R20" s="124">
        <f>L20*'Entrada de dades'!$B$8*'Entrada de dades'!$B$11</f>
        <v>1517.8952591623697</v>
      </c>
      <c r="S20" s="124">
        <f>M20*'Entrada de dades'!$B$8*'Entrada de dades'!$B$13</f>
        <v>181.59615631992716</v>
      </c>
      <c r="T20" s="124">
        <f>N20*'Entrada de dades'!$B$8*'Entrada de dades'!$B$12</f>
        <v>4063.6501702502228</v>
      </c>
      <c r="U20" s="124">
        <f>O20*'Entrada de dades'!$B$8*'Entrada de dades'!$B$14</f>
        <v>276.48819846182795</v>
      </c>
      <c r="V20" s="124">
        <f>P20*'Entrada de dades'!$B$8*'Entrada de dades'!$B$15</f>
        <v>83.773522032857741</v>
      </c>
      <c r="W20" s="124">
        <f>Q20*'Entrada de dades'!$B$8*'Entrada de dades'!$B$15</f>
        <v>23.170215518142253</v>
      </c>
      <c r="X20" s="124">
        <f>L20*(1-'Entrada de dades'!$B$8)*'Entrada de dades'!$B$11*('Entrada de dades'!$B$8/(1*(1/'Entrada de dades'!$B$8)))</f>
        <v>276.86409527121623</v>
      </c>
      <c r="Y20" s="124">
        <f>M20*(1-'Entrada de dades'!$B$8)*'Entrada de dades'!$B$13*('Entrada de dades'!$B$8/(1*(1/'Entrada de dades'!$B$8)))</f>
        <v>33.123138912754712</v>
      </c>
      <c r="Z20" s="124">
        <f>N20*(1-'Entrada de dades'!$B$8)*'Entrada de dades'!$B$12*('Entrada de dades'!$B$8/(1*(1/'Entrada de dades'!$B$8)))</f>
        <v>741.20979105364052</v>
      </c>
      <c r="AA20" s="124">
        <f>O20*(1-'Entrada de dades'!$B$8)*'Entrada de dades'!$B$14*('Entrada de dades'!$B$8/(1*(1/'Entrada de dades'!$B$8)))</f>
        <v>50.431447399437417</v>
      </c>
      <c r="AB20" s="124">
        <f>P20*(1-'Entrada de dades'!$B$8)*'Entrada de dades'!$B$15*('Entrada de dades'!$B$8/(1*(1/'Entrada de dades'!$B$8)))</f>
        <v>15.280290418793248</v>
      </c>
      <c r="AC20" s="124">
        <f>Q20*(1-'Entrada de dades'!$B$8)*'Entrada de dades'!$B$15*('Entrada de dades'!$B$8/(1*(1/'Entrada de dades'!$B$8)))</f>
        <v>4.2262473105091471</v>
      </c>
      <c r="AD20" s="124">
        <f t="shared" si="48"/>
        <v>1794.7593544335859</v>
      </c>
      <c r="AE20" s="124">
        <f t="shared" si="48"/>
        <v>214.71929523268187</v>
      </c>
      <c r="AF20" s="124">
        <f t="shared" si="48"/>
        <v>4804.8599613038632</v>
      </c>
      <c r="AG20" s="124">
        <f t="shared" si="48"/>
        <v>326.91964586126539</v>
      </c>
      <c r="AH20" s="124">
        <f t="shared" si="48"/>
        <v>99.053812451650984</v>
      </c>
      <c r="AI20" s="124">
        <f t="shared" si="48"/>
        <v>27.396462828651401</v>
      </c>
      <c r="AJ20" s="124">
        <f>AD20*('[1]Entrada de dades'!$B$19+'[1]Entrada de dades'!$B$20)</f>
        <v>1076.8556126601518</v>
      </c>
      <c r="AK20" s="124">
        <f>AE20*('[1]Entrada de dades'!$B$19+'[1]Entrada de dades'!$B$20)</f>
        <v>128.83157713960915</v>
      </c>
      <c r="AL20" s="124">
        <f>AF20*('[1]Entrada de dades'!$B$19+'[1]Entrada de dades'!$B$20)</f>
        <v>2882.9159767823185</v>
      </c>
      <c r="AM20" s="124">
        <f>AG20*('[1]Entrada de dades'!$B$19+'[1]Entrada de dades'!$B$20)</f>
        <v>196.15178751675927</v>
      </c>
      <c r="AN20" s="124">
        <f>AH20*('[1]Entrada de dades'!$B$19+'[1]Entrada de dades'!$B$20)</f>
        <v>59.432287470990602</v>
      </c>
      <c r="AO20" s="124">
        <f>AI20*('[1]Entrada de dades'!$B$19+'[1]Entrada de dades'!$B$20)</f>
        <v>16.437877697190842</v>
      </c>
      <c r="AP20" s="124">
        <f t="shared" si="51"/>
        <v>717.90374177343415</v>
      </c>
      <c r="AQ20" s="124">
        <f t="shared" si="51"/>
        <v>85.887718093072721</v>
      </c>
      <c r="AR20" s="124">
        <f t="shared" si="51"/>
        <v>1921.9439845215447</v>
      </c>
      <c r="AS20" s="124">
        <f t="shared" si="51"/>
        <v>130.76785834450612</v>
      </c>
      <c r="AT20" s="124">
        <f t="shared" si="51"/>
        <v>39.621524980660382</v>
      </c>
      <c r="AU20" s="124">
        <f t="shared" si="51"/>
        <v>10.958585131460559</v>
      </c>
      <c r="AV20" s="92">
        <f t="shared" si="30"/>
        <v>1378.1239178953733</v>
      </c>
      <c r="AW20" s="92">
        <f t="shared" si="47"/>
        <v>30.125117121145259</v>
      </c>
      <c r="AX20" s="92">
        <f t="shared" si="31"/>
        <v>6421.022657888032</v>
      </c>
      <c r="AY20" s="92">
        <f t="shared" si="32"/>
        <v>3699.4815581023345</v>
      </c>
      <c r="AZ20" s="92">
        <f t="shared" si="33"/>
        <v>1334.2489104949916</v>
      </c>
      <c r="BA20" s="92">
        <f t="shared" si="34"/>
        <v>369.02871051416469</v>
      </c>
      <c r="BB20" s="92">
        <f t="shared" si="35"/>
        <v>151.87253657217005</v>
      </c>
      <c r="BC20" s="92">
        <f t="shared" si="36"/>
        <v>18.21034342868375</v>
      </c>
      <c r="BD20" s="92">
        <f t="shared" si="37"/>
        <v>517.67561223087819</v>
      </c>
      <c r="BE20" s="92">
        <f t="shared" si="38"/>
        <v>160.38677825953681</v>
      </c>
      <c r="BF20" s="92">
        <f t="shared" si="39"/>
        <v>55.113541248098599</v>
      </c>
      <c r="BG20" s="92">
        <f t="shared" si="40"/>
        <v>15.243391917861638</v>
      </c>
      <c r="BH20" s="92">
        <f t="shared" si="41"/>
        <v>298084.29445489537</v>
      </c>
      <c r="BI20" s="92">
        <f t="shared" si="42"/>
        <v>16986.318908666231</v>
      </c>
      <c r="BJ20" s="92">
        <f t="shared" si="43"/>
        <v>881687.67071969213</v>
      </c>
      <c r="BK20" s="92">
        <f t="shared" si="44"/>
        <v>231500.8176781949</v>
      </c>
      <c r="BL20" s="92">
        <f t="shared" si="45"/>
        <v>79171.204250073366</v>
      </c>
      <c r="BM20" s="92">
        <f t="shared" si="46"/>
        <v>21897.299060502246</v>
      </c>
    </row>
    <row r="21" spans="1:65" ht="10.5" x14ac:dyDescent="0.25">
      <c r="A21" s="66">
        <v>51151</v>
      </c>
      <c r="B21" s="66" t="s">
        <v>551</v>
      </c>
      <c r="C21" s="66" t="s">
        <v>71</v>
      </c>
      <c r="D21" s="67" t="s">
        <v>181</v>
      </c>
      <c r="E21" s="143"/>
      <c r="F21" s="143"/>
      <c r="G21" s="143"/>
      <c r="H21" s="91"/>
      <c r="I21" s="91"/>
      <c r="K21" s="91">
        <v>56126.207578052738</v>
      </c>
      <c r="L21" s="96">
        <v>24329.16916825376</v>
      </c>
      <c r="M21" s="100">
        <v>4313.3941470111495</v>
      </c>
      <c r="N21" s="104">
        <v>25185.663006513267</v>
      </c>
      <c r="O21" s="108">
        <v>1785.4500755767369</v>
      </c>
      <c r="P21" s="112">
        <v>136.869</v>
      </c>
      <c r="Q21" s="116">
        <v>375.66218069781746</v>
      </c>
      <c r="R21" s="124">
        <f>L21*'Entrada de dades'!$B$8*'Entrada de dades'!$B$11</f>
        <v>2274.2907338483615</v>
      </c>
      <c r="S21" s="124">
        <f>M21*'Entrada de dades'!$B$8*'Entrada de dades'!$B$13</f>
        <v>272.08890279346332</v>
      </c>
      <c r="T21" s="124">
        <f>N21*'Entrada de dades'!$B$8*'Entrada de dades'!$B$12</f>
        <v>6086.8710354141267</v>
      </c>
      <c r="U21" s="124">
        <f>O21*'Entrada de dades'!$B$8*'Entrada de dades'!$B$14</f>
        <v>381.30071814016799</v>
      </c>
      <c r="V21" s="124">
        <f>P21*'Entrada de dades'!$B$8*'Entrada de dades'!$B$15</f>
        <v>16.747290840000002</v>
      </c>
      <c r="W21" s="124">
        <f>Q21*'Entrada de dades'!$B$8*'Entrada de dades'!$B$15</f>
        <v>45.966024430184945</v>
      </c>
      <c r="X21" s="124">
        <f>L21*(1-'Entrada de dades'!$B$8)*'Entrada de dades'!$B$11*('Entrada de dades'!$B$8/(1*(1/'Entrada de dades'!$B$8)))</f>
        <v>414.8306298539411</v>
      </c>
      <c r="Y21" s="124">
        <f>M21*(1-'Entrada de dades'!$B$8)*'Entrada de dades'!$B$13*('Entrada de dades'!$B$8/(1*(1/'Entrada de dades'!$B$8)))</f>
        <v>49.629015869527706</v>
      </c>
      <c r="Z21" s="124">
        <f>N21*(1-'Entrada de dades'!$B$8)*'Entrada de dades'!$B$12*('Entrada de dades'!$B$8/(1*(1/'Entrada de dades'!$B$8)))</f>
        <v>1110.2452768595367</v>
      </c>
      <c r="AA21" s="124">
        <f>O21*(1-'Entrada de dades'!$B$8)*'Entrada de dades'!$B$14*('Entrada de dades'!$B$8/(1*(1/'Entrada de dades'!$B$8)))</f>
        <v>69.549250988766644</v>
      </c>
      <c r="AB21" s="124">
        <f>P21*(1-'Entrada de dades'!$B$8)*'Entrada de dades'!$B$15*('Entrada de dades'!$B$8/(1*(1/'Entrada de dades'!$B$8)))</f>
        <v>3.0547058492160004</v>
      </c>
      <c r="AC21" s="124">
        <f>Q21*(1-'Entrada de dades'!$B$8)*'Entrada de dades'!$B$15*('Entrada de dades'!$B$8/(1*(1/'Entrada de dades'!$B$8)))</f>
        <v>8.384202856065734</v>
      </c>
      <c r="AD21" s="124">
        <f t="shared" si="48"/>
        <v>2689.1213637023025</v>
      </c>
      <c r="AE21" s="124">
        <f t="shared" si="48"/>
        <v>321.717918662991</v>
      </c>
      <c r="AF21" s="124">
        <f t="shared" si="48"/>
        <v>7197.1163122736634</v>
      </c>
      <c r="AG21" s="124">
        <f t="shared" si="48"/>
        <v>450.84996912893462</v>
      </c>
      <c r="AH21" s="124">
        <f t="shared" si="48"/>
        <v>19.801996689216001</v>
      </c>
      <c r="AI21" s="124">
        <f t="shared" si="48"/>
        <v>54.350227286250679</v>
      </c>
      <c r="AJ21" s="124">
        <f>AD21*('[1]Entrada de dades'!$B$19+'[1]Entrada de dades'!$B$20)</f>
        <v>1613.4728182213817</v>
      </c>
      <c r="AK21" s="124">
        <f>AE21*('[1]Entrada de dades'!$B$19+'[1]Entrada de dades'!$B$20)</f>
        <v>193.03075119779461</v>
      </c>
      <c r="AL21" s="124">
        <f>AF21*('[1]Entrada de dades'!$B$19+'[1]Entrada de dades'!$B$20)</f>
        <v>4318.2697873641991</v>
      </c>
      <c r="AM21" s="124">
        <f>AG21*('[1]Entrada de dades'!$B$19+'[1]Entrada de dades'!$B$20)</f>
        <v>270.50998147736084</v>
      </c>
      <c r="AN21" s="124">
        <f>AH21*('[1]Entrada de dades'!$B$19+'[1]Entrada de dades'!$B$20)</f>
        <v>11.881198013529602</v>
      </c>
      <c r="AO21" s="124">
        <f>AI21*('[1]Entrada de dades'!$B$19+'[1]Entrada de dades'!$B$20)</f>
        <v>32.610136371750414</v>
      </c>
      <c r="AP21" s="124">
        <f t="shared" si="51"/>
        <v>1075.6485454809208</v>
      </c>
      <c r="AQ21" s="124">
        <f t="shared" si="51"/>
        <v>128.68716746519638</v>
      </c>
      <c r="AR21" s="124">
        <f t="shared" si="51"/>
        <v>2878.8465249094643</v>
      </c>
      <c r="AS21" s="124">
        <f t="shared" si="51"/>
        <v>180.33998765157378</v>
      </c>
      <c r="AT21" s="124">
        <f t="shared" si="51"/>
        <v>7.9207986756863988</v>
      </c>
      <c r="AU21" s="124">
        <f t="shared" si="51"/>
        <v>21.740090914500264</v>
      </c>
      <c r="AV21" s="92">
        <f t="shared" si="30"/>
        <v>2064.86873033245</v>
      </c>
      <c r="AW21" s="92">
        <f t="shared" si="47"/>
        <v>45.137023988417631</v>
      </c>
      <c r="AX21" s="92">
        <f t="shared" si="31"/>
        <v>9617.9383550700331</v>
      </c>
      <c r="AY21" s="92">
        <f t="shared" si="32"/>
        <v>5101.8994036574677</v>
      </c>
      <c r="AZ21" s="92">
        <f t="shared" si="33"/>
        <v>266.73170728393814</v>
      </c>
      <c r="BA21" s="92">
        <f t="shared" si="34"/>
        <v>732.09430053215942</v>
      </c>
      <c r="BB21" s="92">
        <f t="shared" si="35"/>
        <v>227.55344979648885</v>
      </c>
      <c r="BC21" s="92">
        <f t="shared" si="36"/>
        <v>27.284896681808263</v>
      </c>
      <c r="BD21" s="92">
        <f t="shared" si="37"/>
        <v>775.41731148436452</v>
      </c>
      <c r="BE21" s="92">
        <f t="shared" si="38"/>
        <v>221.18699485465532</v>
      </c>
      <c r="BF21" s="92">
        <f t="shared" si="39"/>
        <v>11.017830957879781</v>
      </c>
      <c r="BG21" s="92">
        <f t="shared" si="40"/>
        <v>30.240466462069875</v>
      </c>
      <c r="BH21" s="92">
        <f t="shared" si="41"/>
        <v>446625.24946457887</v>
      </c>
      <c r="BI21" s="92">
        <f t="shared" si="42"/>
        <v>25450.917949036397</v>
      </c>
      <c r="BJ21" s="92">
        <f t="shared" si="43"/>
        <v>1320664.6537821889</v>
      </c>
      <c r="BK21" s="92">
        <f t="shared" si="44"/>
        <v>319259.29758234724</v>
      </c>
      <c r="BL21" s="92">
        <f t="shared" si="45"/>
        <v>15827.234567134179</v>
      </c>
      <c r="BM21" s="92">
        <f t="shared" si="46"/>
        <v>43440.760522145283</v>
      </c>
    </row>
    <row r="22" spans="1:65" ht="10.5" x14ac:dyDescent="0.25">
      <c r="A22" s="66">
        <v>36794</v>
      </c>
      <c r="B22" s="66" t="s">
        <v>552</v>
      </c>
      <c r="C22" s="66" t="s">
        <v>71</v>
      </c>
      <c r="D22" s="67" t="s">
        <v>183</v>
      </c>
      <c r="E22" s="143"/>
      <c r="F22" s="143"/>
      <c r="G22" s="143"/>
      <c r="H22" s="91"/>
      <c r="I22" s="91"/>
      <c r="K22" s="91">
        <v>83271.055235507141</v>
      </c>
      <c r="L22" s="96">
        <v>42459.117454100968</v>
      </c>
      <c r="M22" s="100">
        <v>7527.7091234481832</v>
      </c>
      <c r="N22" s="104">
        <v>28928.927944476465</v>
      </c>
      <c r="O22" s="108">
        <v>3130.8840187838509</v>
      </c>
      <c r="P22" s="112">
        <v>959.13703129871919</v>
      </c>
      <c r="Q22" s="116">
        <v>265.27966339896733</v>
      </c>
      <c r="R22" s="124">
        <f>L22*'Entrada de dades'!$B$8*'Entrada de dades'!$B$11</f>
        <v>3969.0782996093581</v>
      </c>
      <c r="S22" s="124">
        <f>M22*'Entrada de dades'!$B$8*'Entrada de dades'!$B$13</f>
        <v>474.8478915071114</v>
      </c>
      <c r="T22" s="124">
        <f>N22*'Entrada de dades'!$B$8*'Entrada de dades'!$B$12</f>
        <v>6991.5433056210722</v>
      </c>
      <c r="U22" s="124">
        <f>O22*'Entrada de dades'!$B$8*'Entrada de dades'!$B$14</f>
        <v>668.63159105147929</v>
      </c>
      <c r="V22" s="124">
        <f>P22*'Entrada de dades'!$B$8*'Entrada de dades'!$B$15</f>
        <v>117.36000714971129</v>
      </c>
      <c r="W22" s="124">
        <f>Q22*'Entrada de dades'!$B$8*'Entrada de dades'!$B$15</f>
        <v>32.459619613497644</v>
      </c>
      <c r="X22" s="124">
        <f>L22*(1-'Entrada de dades'!$B$8)*'Entrada de dades'!$B$11*('Entrada de dades'!$B$8/(1*(1/'Entrada de dades'!$B$8)))</f>
        <v>723.95988184874693</v>
      </c>
      <c r="Y22" s="124">
        <f>M22*(1-'Entrada de dades'!$B$8)*'Entrada de dades'!$B$13*('Entrada de dades'!$B$8/(1*(1/'Entrada de dades'!$B$8)))</f>
        <v>86.612255410897106</v>
      </c>
      <c r="Z22" s="124">
        <f>N22*(1-'Entrada de dades'!$B$8)*'Entrada de dades'!$B$12*('Entrada de dades'!$B$8/(1*(1/'Entrada de dades'!$B$8)))</f>
        <v>1275.2574989452835</v>
      </c>
      <c r="AA22" s="124">
        <f>O22*(1-'Entrada de dades'!$B$8)*'Entrada de dades'!$B$14*('Entrada de dades'!$B$8/(1*(1/'Entrada de dades'!$B$8)))</f>
        <v>121.95840220778982</v>
      </c>
      <c r="AB22" s="124">
        <f>P22*(1-'Entrada de dades'!$B$8)*'Entrada de dades'!$B$15*('Entrada de dades'!$B$8/(1*(1/'Entrada de dades'!$B$8)))</f>
        <v>21.406465304107339</v>
      </c>
      <c r="AC22" s="124">
        <f>Q22*(1-'Entrada de dades'!$B$8)*'Entrada de dades'!$B$15*('Entrada de dades'!$B$8/(1*(1/'Entrada de dades'!$B$8)))</f>
        <v>5.9206346175019702</v>
      </c>
      <c r="AD22" s="124">
        <f t="shared" si="48"/>
        <v>4693.0381814581051</v>
      </c>
      <c r="AE22" s="124">
        <f t="shared" si="48"/>
        <v>561.46014691800849</v>
      </c>
      <c r="AF22" s="124">
        <f t="shared" si="48"/>
        <v>8266.8008045663555</v>
      </c>
      <c r="AG22" s="124">
        <f t="shared" si="48"/>
        <v>790.58999325926914</v>
      </c>
      <c r="AH22" s="124">
        <f t="shared" si="48"/>
        <v>138.76647245381864</v>
      </c>
      <c r="AI22" s="124">
        <f t="shared" si="48"/>
        <v>38.380254230999611</v>
      </c>
      <c r="AJ22" s="124">
        <f>AD22*('[1]Entrada de dades'!$B$19+'[1]Entrada de dades'!$B$20)</f>
        <v>2815.8229088748635</v>
      </c>
      <c r="AK22" s="124">
        <f>AE22*('[1]Entrada de dades'!$B$19+'[1]Entrada de dades'!$B$20)</f>
        <v>336.87608815080512</v>
      </c>
      <c r="AL22" s="124">
        <f>AF22*('[1]Entrada de dades'!$B$19+'[1]Entrada de dades'!$B$20)</f>
        <v>4960.0804827398142</v>
      </c>
      <c r="AM22" s="124">
        <f>AG22*('[1]Entrada de dades'!$B$19+'[1]Entrada de dades'!$B$20)</f>
        <v>474.35399595556157</v>
      </c>
      <c r="AN22" s="124">
        <f>AH22*('[1]Entrada de dades'!$B$19+'[1]Entrada de dades'!$B$20)</f>
        <v>83.259883472291193</v>
      </c>
      <c r="AO22" s="124">
        <f>AI22*('[1]Entrada de dades'!$B$19+'[1]Entrada de dades'!$B$20)</f>
        <v>23.02815253859977</v>
      </c>
      <c r="AP22" s="124">
        <f t="shared" si="51"/>
        <v>1877.2152725832416</v>
      </c>
      <c r="AQ22" s="124">
        <f t="shared" si="51"/>
        <v>224.58405876720337</v>
      </c>
      <c r="AR22" s="124">
        <f t="shared" si="51"/>
        <v>3306.7203218265413</v>
      </c>
      <c r="AS22" s="124">
        <f t="shared" si="51"/>
        <v>316.23599730370756</v>
      </c>
      <c r="AT22" s="124">
        <f t="shared" si="51"/>
        <v>55.506588981527443</v>
      </c>
      <c r="AU22" s="124">
        <f t="shared" si="51"/>
        <v>15.352101692399842</v>
      </c>
      <c r="AV22" s="92">
        <f t="shared" si="30"/>
        <v>3603.5962980144209</v>
      </c>
      <c r="AW22" s="92">
        <f t="shared" si="47"/>
        <v>78.772858612596579</v>
      </c>
      <c r="AX22" s="92">
        <f t="shared" si="31"/>
        <v>11047.421923190297</v>
      </c>
      <c r="AY22" s="92">
        <f t="shared" si="32"/>
        <v>8946.4586699206775</v>
      </c>
      <c r="AZ22" s="92">
        <f t="shared" si="33"/>
        <v>1869.1760579645897</v>
      </c>
      <c r="BA22" s="92">
        <f t="shared" si="34"/>
        <v>516.97972167631087</v>
      </c>
      <c r="BB22" s="92">
        <f t="shared" si="35"/>
        <v>397.12489091498486</v>
      </c>
      <c r="BC22" s="92">
        <f t="shared" si="36"/>
        <v>47.6174350601163</v>
      </c>
      <c r="BD22" s="92">
        <f t="shared" si="37"/>
        <v>890.66511868397924</v>
      </c>
      <c r="BE22" s="92">
        <f t="shared" si="38"/>
        <v>387.86345069299739</v>
      </c>
      <c r="BF22" s="92">
        <f t="shared" si="39"/>
        <v>77.209665273304694</v>
      </c>
      <c r="BG22" s="92">
        <f t="shared" si="40"/>
        <v>21.354773454128182</v>
      </c>
      <c r="BH22" s="92">
        <f t="shared" si="41"/>
        <v>779447.65782336006</v>
      </c>
      <c r="BI22" s="92">
        <f t="shared" si="42"/>
        <v>44416.786575798447</v>
      </c>
      <c r="BJ22" s="92">
        <f t="shared" si="43"/>
        <v>1516950.8381892345</v>
      </c>
      <c r="BK22" s="92">
        <f t="shared" si="44"/>
        <v>559838.57869890262</v>
      </c>
      <c r="BL22" s="92">
        <f t="shared" si="45"/>
        <v>110912.52786525471</v>
      </c>
      <c r="BM22" s="92">
        <f t="shared" si="46"/>
        <v>30676.365418800862</v>
      </c>
    </row>
    <row r="23" spans="1:65" x14ac:dyDescent="0.2">
      <c r="A23" s="66">
        <v>24132</v>
      </c>
      <c r="B23" s="66" t="s">
        <v>553</v>
      </c>
      <c r="C23" s="66" t="s">
        <v>71</v>
      </c>
      <c r="D23" s="67" t="s">
        <v>199</v>
      </c>
      <c r="E23" s="91"/>
      <c r="F23" s="91"/>
      <c r="G23" s="91"/>
      <c r="H23" s="91"/>
      <c r="I23" s="91"/>
      <c r="J23" s="67"/>
      <c r="K23" s="91">
        <v>22751.108838458404</v>
      </c>
      <c r="L23" s="96">
        <v>5951.6533526326011</v>
      </c>
      <c r="M23" s="100">
        <v>1055.1871524566066</v>
      </c>
      <c r="N23" s="104">
        <v>15013.747414221963</v>
      </c>
      <c r="O23" s="108">
        <v>507.7109219649488</v>
      </c>
      <c r="P23" s="112">
        <v>47.826000000000001</v>
      </c>
      <c r="Q23" s="116">
        <v>174.98399718228745</v>
      </c>
      <c r="R23" s="124">
        <f>L23*'Entrada de dades'!$B$8*'Entrada de dades'!$B$11</f>
        <v>556.36055540409552</v>
      </c>
      <c r="S23" s="124">
        <f>M23*'Entrada de dades'!$B$8*'Entrada de dades'!$B$13</f>
        <v>66.561205576962735</v>
      </c>
      <c r="T23" s="124">
        <f>N23*'Entrada de dades'!$B$8*'Entrada de dades'!$B$12</f>
        <v>3628.5224750691641</v>
      </c>
      <c r="U23" s="124">
        <f>O23*'Entrada de dades'!$B$8*'Entrada de dades'!$B$14</f>
        <v>108.42674449483447</v>
      </c>
      <c r="V23" s="124">
        <f>P23*'Entrada de dades'!$B$8*'Entrada de dades'!$B$15</f>
        <v>5.8519893600000001</v>
      </c>
      <c r="W23" s="124">
        <f>Q23*'Entrada de dades'!$B$8*'Entrada de dades'!$B$15</f>
        <v>21.411041895224692</v>
      </c>
      <c r="X23" s="124">
        <f>L23*(1-'Entrada de dades'!$B$8)*'Entrada de dades'!$B$11*('Entrada de dades'!$B$8/(1*(1/'Entrada de dades'!$B$8)))</f>
        <v>101.48016530570702</v>
      </c>
      <c r="Y23" s="124">
        <f>M23*(1-'Entrada de dades'!$B$8)*'Entrada de dades'!$B$13*('Entrada de dades'!$B$8/(1*(1/'Entrada de dades'!$B$8)))</f>
        <v>12.140763897238003</v>
      </c>
      <c r="Z23" s="124">
        <f>N23*(1-'Entrada de dades'!$B$8)*'Entrada de dades'!$B$12*('Entrada de dades'!$B$8/(1*(1/'Entrada de dades'!$B$8)))</f>
        <v>661.84249945261547</v>
      </c>
      <c r="AA23" s="124">
        <f>O23*(1-'Entrada de dades'!$B$8)*'Entrada de dades'!$B$14*('Entrada de dades'!$B$8/(1*(1/'Entrada de dades'!$B$8)))</f>
        <v>19.777038195857809</v>
      </c>
      <c r="AB23" s="124">
        <f>P23*(1-'Entrada de dades'!$B$8)*'Entrada de dades'!$B$15*('Entrada de dades'!$B$8/(1*(1/'Entrada de dades'!$B$8)))</f>
        <v>1.0674028592640001</v>
      </c>
      <c r="AC23" s="124">
        <f>Q23*(1-'Entrada de dades'!$B$8)*'Entrada de dades'!$B$15*('Entrada de dades'!$B$8/(1*(1/'Entrada de dades'!$B$8)))</f>
        <v>3.9053740416889844</v>
      </c>
      <c r="AD23" s="124">
        <f t="shared" si="48"/>
        <v>657.84072070980255</v>
      </c>
      <c r="AE23" s="124">
        <f t="shared" si="48"/>
        <v>78.701969474200737</v>
      </c>
      <c r="AF23" s="124">
        <f t="shared" si="48"/>
        <v>4290.3649745217799</v>
      </c>
      <c r="AG23" s="124">
        <f t="shared" si="48"/>
        <v>128.20378269069226</v>
      </c>
      <c r="AH23" s="124">
        <f t="shared" si="48"/>
        <v>6.9193922192640001</v>
      </c>
      <c r="AI23" s="124">
        <f t="shared" si="48"/>
        <v>25.316415936913675</v>
      </c>
      <c r="AJ23" s="124">
        <f>AD23*('[1]Entrada de dades'!$B$19+'[1]Entrada de dades'!$B$20)</f>
        <v>394.70443242588158</v>
      </c>
      <c r="AK23" s="124">
        <f>AE23*('[1]Entrada de dades'!$B$19+'[1]Entrada de dades'!$B$20)</f>
        <v>47.221181684520452</v>
      </c>
      <c r="AL23" s="124">
        <f>AF23*('[1]Entrada de dades'!$B$19+'[1]Entrada de dades'!$B$20)</f>
        <v>2574.2189847130685</v>
      </c>
      <c r="AM23" s="124">
        <f>AG23*('[1]Entrada de dades'!$B$19+'[1]Entrada de dades'!$B$20)</f>
        <v>76.92226961441537</v>
      </c>
      <c r="AN23" s="124">
        <f>AH23*('[1]Entrada de dades'!$B$19+'[1]Entrada de dades'!$B$20)</f>
        <v>4.1516353315584009</v>
      </c>
      <c r="AO23" s="124">
        <f>AI23*('[1]Entrada de dades'!$B$19+'[1]Entrada de dades'!$B$20)</f>
        <v>15.189849562148208</v>
      </c>
      <c r="AP23" s="124">
        <f t="shared" si="51"/>
        <v>263.13628828392098</v>
      </c>
      <c r="AQ23" s="124">
        <f t="shared" si="49"/>
        <v>31.480787789680285</v>
      </c>
      <c r="AR23" s="124">
        <f t="shared" si="49"/>
        <v>1716.1459898087114</v>
      </c>
      <c r="AS23" s="124">
        <f t="shared" si="49"/>
        <v>51.281513076276894</v>
      </c>
      <c r="AT23" s="124">
        <f t="shared" si="49"/>
        <v>2.7677568877055991</v>
      </c>
      <c r="AU23" s="124">
        <f t="shared" si="49"/>
        <v>10.126566374765467</v>
      </c>
      <c r="AV23" s="92">
        <f t="shared" si="30"/>
        <v>505.12957580422903</v>
      </c>
      <c r="AW23" s="92">
        <f t="shared" si="47"/>
        <v>11.041886317230361</v>
      </c>
      <c r="AX23" s="92">
        <f t="shared" si="31"/>
        <v>5733.472137351926</v>
      </c>
      <c r="AY23" s="92">
        <f t="shared" si="32"/>
        <v>1450.777081608758</v>
      </c>
      <c r="AZ23" s="92">
        <f t="shared" si="33"/>
        <v>93.203798029952921</v>
      </c>
      <c r="BA23" s="92">
        <f t="shared" si="34"/>
        <v>341.01060368527101</v>
      </c>
      <c r="BB23" s="92">
        <f t="shared" si="35"/>
        <v>55.666481786463493</v>
      </c>
      <c r="BC23" s="92">
        <f t="shared" si="36"/>
        <v>6.6747140311069639</v>
      </c>
      <c r="BD23" s="92">
        <f t="shared" si="37"/>
        <v>462.24392235497658</v>
      </c>
      <c r="BE23" s="92">
        <f t="shared" si="38"/>
        <v>62.896775788053624</v>
      </c>
      <c r="BF23" s="92">
        <f t="shared" si="39"/>
        <v>3.8499498307984896</v>
      </c>
      <c r="BG23" s="92">
        <f t="shared" si="40"/>
        <v>14.08605382729877</v>
      </c>
      <c r="BH23" s="92">
        <f t="shared" si="41"/>
        <v>109258.09446936504</v>
      </c>
      <c r="BI23" s="92">
        <f t="shared" si="42"/>
        <v>6226.0671579617274</v>
      </c>
      <c r="BJ23" s="92">
        <f t="shared" si="43"/>
        <v>787278.28311086854</v>
      </c>
      <c r="BK23" s="92">
        <f t="shared" si="44"/>
        <v>90784.634383605808</v>
      </c>
      <c r="BL23" s="92">
        <f t="shared" si="45"/>
        <v>5530.4950018467243</v>
      </c>
      <c r="BM23" s="92">
        <f t="shared" si="46"/>
        <v>20234.770246723579</v>
      </c>
    </row>
    <row r="24" spans="1:65" ht="10.5" x14ac:dyDescent="0.25">
      <c r="A24" s="66">
        <v>27974</v>
      </c>
      <c r="B24" s="66" t="s">
        <v>554</v>
      </c>
      <c r="C24" s="66" t="s">
        <v>71</v>
      </c>
      <c r="D24" s="67" t="s">
        <v>217</v>
      </c>
      <c r="E24" s="143"/>
      <c r="F24" s="143"/>
      <c r="G24" s="143"/>
      <c r="H24" s="91"/>
      <c r="I24" s="91"/>
      <c r="K24" s="91">
        <v>33516.163844702758</v>
      </c>
      <c r="L24" s="96">
        <v>8389.0970628734158</v>
      </c>
      <c r="M24" s="100">
        <v>1487.3291364558281</v>
      </c>
      <c r="N24" s="104">
        <v>22785.090926732519</v>
      </c>
      <c r="O24" s="108">
        <v>854.64671864099716</v>
      </c>
      <c r="P24" s="112">
        <v>0</v>
      </c>
      <c r="Q24" s="116">
        <v>0</v>
      </c>
      <c r="R24" s="124">
        <f>L24*'Entrada de dades'!$B$8*'Entrada de dades'!$B$11</f>
        <v>784.21279343740696</v>
      </c>
      <c r="S24" s="124">
        <f>M24*'Entrada de dades'!$B$8*'Entrada de dades'!$B$13</f>
        <v>93.820721927633642</v>
      </c>
      <c r="T24" s="124">
        <f>N24*'Entrada de dades'!$B$8*'Entrada de dades'!$B$12</f>
        <v>5506.700775172716</v>
      </c>
      <c r="U24" s="124">
        <f>O24*'Entrada de dades'!$B$8*'Entrada de dades'!$B$14</f>
        <v>182.51835323297138</v>
      </c>
      <c r="V24" s="124">
        <f>P24*'Entrada de dades'!$B$8*'Entrada de dades'!$B$15</f>
        <v>0</v>
      </c>
      <c r="W24" s="124">
        <f>Q24*'Entrada de dades'!$B$8*'Entrada de dades'!$B$15</f>
        <v>0</v>
      </c>
      <c r="X24" s="124">
        <f>L24*(1-'Entrada de dades'!$B$8)*'Entrada de dades'!$B$11*('Entrada de dades'!$B$8/(1*(1/'Entrada de dades'!$B$8)))</f>
        <v>143.04041352298302</v>
      </c>
      <c r="Y24" s="124">
        <f>M24*(1-'Entrada de dades'!$B$8)*'Entrada de dades'!$B$13*('Entrada de dades'!$B$8/(1*(1/'Entrada de dades'!$B$8)))</f>
        <v>17.112899679600375</v>
      </c>
      <c r="Z24" s="124">
        <f>N24*(1-'Entrada de dades'!$B$8)*'Entrada de dades'!$B$12*('Entrada de dades'!$B$8/(1*(1/'Entrada de dades'!$B$8)))</f>
        <v>1004.4222213915032</v>
      </c>
      <c r="AA24" s="124">
        <f>O24*(1-'Entrada de dades'!$B$8)*'Entrada de dades'!$B$14*('Entrada de dades'!$B$8/(1*(1/'Entrada de dades'!$B$8)))</f>
        <v>33.291347629693973</v>
      </c>
      <c r="AB24" s="124">
        <f>P24*(1-'Entrada de dades'!$B$8)*'Entrada de dades'!$B$15*('Entrada de dades'!$B$8/(1*(1/'Entrada de dades'!$B$8)))</f>
        <v>0</v>
      </c>
      <c r="AC24" s="124">
        <f>Q24*(1-'Entrada de dades'!$B$8)*'Entrada de dades'!$B$15*('Entrada de dades'!$B$8/(1*(1/'Entrada de dades'!$B$8)))</f>
        <v>0</v>
      </c>
      <c r="AD24" s="124">
        <f t="shared" ref="AD24:AI35" si="52">R24+X24</f>
        <v>927.25320696039</v>
      </c>
      <c r="AE24" s="124">
        <f t="shared" si="52"/>
        <v>110.93362160723402</v>
      </c>
      <c r="AF24" s="124">
        <f t="shared" si="52"/>
        <v>6511.1229965642196</v>
      </c>
      <c r="AG24" s="124">
        <f t="shared" si="52"/>
        <v>215.80970086266535</v>
      </c>
      <c r="AH24" s="124">
        <f t="shared" si="52"/>
        <v>0</v>
      </c>
      <c r="AI24" s="124">
        <f t="shared" si="52"/>
        <v>0</v>
      </c>
      <c r="AJ24" s="124">
        <f>AD24*('[1]Entrada de dades'!$B$19+'[1]Entrada de dades'!$B$20)</f>
        <v>556.35192417623409</v>
      </c>
      <c r="AK24" s="124">
        <f>AE24*('[1]Entrada de dades'!$B$19+'[1]Entrada de dades'!$B$20)</f>
        <v>66.560172964340424</v>
      </c>
      <c r="AL24" s="124">
        <f>AF24*('[1]Entrada de dades'!$B$19+'[1]Entrada de dades'!$B$20)</f>
        <v>3906.6737979385325</v>
      </c>
      <c r="AM24" s="124">
        <f>AG24*('[1]Entrada de dades'!$B$19+'[1]Entrada de dades'!$B$20)</f>
        <v>129.48582051759922</v>
      </c>
      <c r="AN24" s="124">
        <f>AH24*('[1]Entrada de dades'!$B$19+'[1]Entrada de dades'!$B$20)</f>
        <v>0</v>
      </c>
      <c r="AO24" s="124">
        <f>AI24*('[1]Entrada de dades'!$B$19+'[1]Entrada de dades'!$B$20)</f>
        <v>0</v>
      </c>
      <c r="AP24" s="124">
        <f t="shared" si="51"/>
        <v>370.90128278415591</v>
      </c>
      <c r="AQ24" s="124">
        <f t="shared" si="51"/>
        <v>44.373448642893592</v>
      </c>
      <c r="AR24" s="124">
        <f t="shared" si="51"/>
        <v>2604.4491986256871</v>
      </c>
      <c r="AS24" s="124">
        <f t="shared" si="51"/>
        <v>86.323880345066129</v>
      </c>
      <c r="AT24" s="124">
        <f t="shared" si="51"/>
        <v>0</v>
      </c>
      <c r="AU24" s="124">
        <f t="shared" si="51"/>
        <v>0</v>
      </c>
      <c r="AV24" s="92">
        <f t="shared" si="30"/>
        <v>712.0006474966051</v>
      </c>
      <c r="AW24" s="92">
        <f t="shared" si="47"/>
        <v>15.563987111494932</v>
      </c>
      <c r="AX24" s="92">
        <f t="shared" si="31"/>
        <v>8701.2043276885615</v>
      </c>
      <c r="AY24" s="92">
        <f t="shared" si="32"/>
        <v>2442.1414207080766</v>
      </c>
      <c r="AZ24" s="92">
        <f t="shared" si="33"/>
        <v>0</v>
      </c>
      <c r="BA24" s="92">
        <f t="shared" si="34"/>
        <v>0</v>
      </c>
      <c r="BB24" s="92">
        <f t="shared" si="35"/>
        <v>78.464166372988203</v>
      </c>
      <c r="BC24" s="92">
        <f t="shared" si="36"/>
        <v>9.4082804485095171</v>
      </c>
      <c r="BD24" s="92">
        <f t="shared" si="37"/>
        <v>701.50839164982904</v>
      </c>
      <c r="BE24" s="92">
        <f t="shared" si="38"/>
        <v>105.87623924322362</v>
      </c>
      <c r="BF24" s="92">
        <f t="shared" si="39"/>
        <v>0</v>
      </c>
      <c r="BG24" s="92">
        <f t="shared" si="40"/>
        <v>0</v>
      </c>
      <c r="BH24" s="92">
        <f t="shared" si="41"/>
        <v>154003.72049603093</v>
      </c>
      <c r="BI24" s="92">
        <f t="shared" si="42"/>
        <v>8775.8944638477533</v>
      </c>
      <c r="BJ24" s="92">
        <f t="shared" si="43"/>
        <v>1194785.4703037573</v>
      </c>
      <c r="BK24" s="92">
        <f t="shared" si="44"/>
        <v>152820.80121240314</v>
      </c>
      <c r="BL24" s="92">
        <f t="shared" si="45"/>
        <v>0</v>
      </c>
      <c r="BM24" s="92">
        <f t="shared" si="46"/>
        <v>0</v>
      </c>
    </row>
    <row r="25" spans="1:65" ht="10.5" x14ac:dyDescent="0.25">
      <c r="A25" s="66">
        <v>65532</v>
      </c>
      <c r="B25" s="66" t="s">
        <v>555</v>
      </c>
      <c r="C25" s="66" t="s">
        <v>71</v>
      </c>
      <c r="D25" s="67" t="s">
        <v>225</v>
      </c>
      <c r="E25" s="143"/>
      <c r="F25" s="143"/>
      <c r="G25" s="143"/>
      <c r="H25" s="91"/>
      <c r="I25" s="91"/>
      <c r="K25" s="91">
        <v>116618.54843895002</v>
      </c>
      <c r="L25" s="96">
        <v>68849.492806600247</v>
      </c>
      <c r="M25" s="100">
        <v>12206.540932116479</v>
      </c>
      <c r="N25" s="104">
        <v>30892.107653788691</v>
      </c>
      <c r="O25" s="108">
        <v>2487.7835176282492</v>
      </c>
      <c r="P25" s="112">
        <v>1709.7406960695923</v>
      </c>
      <c r="Q25" s="116">
        <v>472.88283274676149</v>
      </c>
      <c r="R25" s="124">
        <f>L25*'Entrada de dades'!$B$8*'Entrada de dades'!$B$11</f>
        <v>6436.0505875609915</v>
      </c>
      <c r="S25" s="124">
        <f>M25*'Entrada de dades'!$B$8*'Entrada de dades'!$B$13</f>
        <v>769.98860199790761</v>
      </c>
      <c r="T25" s="124">
        <f>N25*'Entrada de dades'!$B$8*'Entrada de dades'!$B$12</f>
        <v>7466.0045777676505</v>
      </c>
      <c r="U25" s="124">
        <f>O25*'Entrada de dades'!$B$8*'Entrada de dades'!$B$14</f>
        <v>531.29104802468896</v>
      </c>
      <c r="V25" s="124">
        <f>P25*'Entrada de dades'!$B$8*'Entrada de dades'!$B$15</f>
        <v>209.20387157107533</v>
      </c>
      <c r="W25" s="124">
        <f>Q25*'Entrada de dades'!$B$8*'Entrada de dades'!$B$15</f>
        <v>57.861943414893737</v>
      </c>
      <c r="X25" s="124">
        <f>L25*(1-'Entrada de dades'!$B$8)*'Entrada de dades'!$B$11*('Entrada de dades'!$B$8/(1*(1/'Entrada de dades'!$B$8)))</f>
        <v>1173.9356271711247</v>
      </c>
      <c r="Y25" s="124">
        <f>M25*(1-'Entrada de dades'!$B$8)*'Entrada de dades'!$B$13*('Entrada de dades'!$B$8/(1*(1/'Entrada de dades'!$B$8)))</f>
        <v>140.44592100441835</v>
      </c>
      <c r="Z25" s="124">
        <f>N25*(1-'Entrada de dades'!$B$8)*'Entrada de dades'!$B$12*('Entrada de dades'!$B$8/(1*(1/'Entrada de dades'!$B$8)))</f>
        <v>1361.7992349848196</v>
      </c>
      <c r="AA25" s="124">
        <f>O25*(1-'Entrada de dades'!$B$8)*'Entrada de dades'!$B$14*('Entrada de dades'!$B$8/(1*(1/'Entrada de dades'!$B$8)))</f>
        <v>96.907487159703265</v>
      </c>
      <c r="AB25" s="124">
        <f>P25*(1-'Entrada de dades'!$B$8)*'Entrada de dades'!$B$15*('Entrada de dades'!$B$8/(1*(1/'Entrada de dades'!$B$8)))</f>
        <v>38.158786174564135</v>
      </c>
      <c r="AC25" s="124">
        <f>Q25*(1-'Entrada de dades'!$B$8)*'Entrada de dades'!$B$15*('Entrada de dades'!$B$8/(1*(1/'Entrada de dades'!$B$8)))</f>
        <v>10.554018478876616</v>
      </c>
      <c r="AD25" s="124">
        <f t="shared" si="52"/>
        <v>7609.9862147321164</v>
      </c>
      <c r="AE25" s="124">
        <f t="shared" si="52"/>
        <v>910.43452300232593</v>
      </c>
      <c r="AF25" s="124">
        <f t="shared" si="52"/>
        <v>8827.8038127524705</v>
      </c>
      <c r="AG25" s="124">
        <f t="shared" si="52"/>
        <v>628.1985351843922</v>
      </c>
      <c r="AH25" s="124">
        <f t="shared" si="52"/>
        <v>247.36265774563947</v>
      </c>
      <c r="AI25" s="124">
        <f t="shared" si="52"/>
        <v>68.415961893770358</v>
      </c>
      <c r="AJ25" s="124">
        <f>AD25*('[1]Entrada de dades'!$B$19+'[1]Entrada de dades'!$B$20)</f>
        <v>4565.9917288392708</v>
      </c>
      <c r="AK25" s="124">
        <f>AE25*('[1]Entrada de dades'!$B$19+'[1]Entrada de dades'!$B$20)</f>
        <v>546.2607138013957</v>
      </c>
      <c r="AL25" s="124">
        <f>AF25*('[1]Entrada de dades'!$B$19+'[1]Entrada de dades'!$B$20)</f>
        <v>5296.6822876514834</v>
      </c>
      <c r="AM25" s="124">
        <f>AG25*('[1]Entrada de dades'!$B$19+'[1]Entrada de dades'!$B$20)</f>
        <v>376.91912111063539</v>
      </c>
      <c r="AN25" s="124">
        <f>AH25*('[1]Entrada de dades'!$B$19+'[1]Entrada de dades'!$B$20)</f>
        <v>148.41759464738371</v>
      </c>
      <c r="AO25" s="124">
        <f>AI25*('[1]Entrada de dades'!$B$19+'[1]Entrada de dades'!$B$20)</f>
        <v>41.049577136262222</v>
      </c>
      <c r="AP25" s="124">
        <f t="shared" si="51"/>
        <v>3043.9944858928457</v>
      </c>
      <c r="AQ25" s="124">
        <f t="shared" si="51"/>
        <v>364.17380920093024</v>
      </c>
      <c r="AR25" s="124">
        <f t="shared" si="51"/>
        <v>3531.1215251009871</v>
      </c>
      <c r="AS25" s="124">
        <f t="shared" si="51"/>
        <v>251.27941407375681</v>
      </c>
      <c r="AT25" s="124">
        <f t="shared" si="51"/>
        <v>98.945063098255758</v>
      </c>
      <c r="AU25" s="124">
        <f t="shared" si="51"/>
        <v>27.366384757508136</v>
      </c>
      <c r="AV25" s="92">
        <f t="shared" si="30"/>
        <v>5843.4040148442036</v>
      </c>
      <c r="AW25" s="92">
        <f t="shared" si="47"/>
        <v>127.73396357722632</v>
      </c>
      <c r="AX25" s="92">
        <f t="shared" si="31"/>
        <v>11797.123903209893</v>
      </c>
      <c r="AY25" s="92">
        <f t="shared" si="32"/>
        <v>7108.8076998829165</v>
      </c>
      <c r="AZ25" s="92">
        <f t="shared" si="33"/>
        <v>3331.9601580742988</v>
      </c>
      <c r="BA25" s="92">
        <f t="shared" si="34"/>
        <v>921.55890175137313</v>
      </c>
      <c r="BB25" s="92">
        <f t="shared" si="35"/>
        <v>643.95703349063172</v>
      </c>
      <c r="BC25" s="92">
        <f t="shared" si="36"/>
        <v>77.213951895827265</v>
      </c>
      <c r="BD25" s="92">
        <f t="shared" si="37"/>
        <v>951.10758278595131</v>
      </c>
      <c r="BE25" s="92">
        <f t="shared" si="38"/>
        <v>308.19420136146283</v>
      </c>
      <c r="BF25" s="92">
        <f t="shared" si="39"/>
        <v>137.63258276967377</v>
      </c>
      <c r="BG25" s="92">
        <f t="shared" si="40"/>
        <v>38.066641197693826</v>
      </c>
      <c r="BH25" s="92">
        <f t="shared" si="41"/>
        <v>1263911.7138608259</v>
      </c>
      <c r="BI25" s="92">
        <f t="shared" si="42"/>
        <v>72023.947062690684</v>
      </c>
      <c r="BJ25" s="92">
        <f t="shared" si="43"/>
        <v>1619894.4077287994</v>
      </c>
      <c r="BK25" s="92">
        <f t="shared" si="44"/>
        <v>444844.7084796686</v>
      </c>
      <c r="BL25" s="92">
        <f t="shared" si="45"/>
        <v>197710.70911359554</v>
      </c>
      <c r="BM25" s="92">
        <f t="shared" si="46"/>
        <v>54683.146049535506</v>
      </c>
    </row>
    <row r="26" spans="1:65" ht="10.5" x14ac:dyDescent="0.25">
      <c r="A26" s="66">
        <v>28523</v>
      </c>
      <c r="B26" s="66" t="s">
        <v>556</v>
      </c>
      <c r="C26" s="66" t="s">
        <v>71</v>
      </c>
      <c r="D26" s="67" t="s">
        <v>227</v>
      </c>
      <c r="E26" s="143"/>
      <c r="F26" s="143"/>
      <c r="G26" s="143"/>
      <c r="H26" s="91"/>
      <c r="I26" s="91"/>
      <c r="K26" s="91">
        <v>18486.638680853132</v>
      </c>
      <c r="L26" s="96">
        <v>3964.0113126081515</v>
      </c>
      <c r="M26" s="100">
        <v>702.79190695919795</v>
      </c>
      <c r="N26" s="104">
        <v>13223.490269978694</v>
      </c>
      <c r="O26" s="108">
        <v>262.31730968189026</v>
      </c>
      <c r="P26" s="112">
        <v>128.18889999999999</v>
      </c>
      <c r="Q26" s="116">
        <v>205.83898162519836</v>
      </c>
      <c r="R26" s="124">
        <f>L26*'Entrada de dades'!$B$8*'Entrada de dades'!$B$11</f>
        <v>370.55577750261</v>
      </c>
      <c r="S26" s="124">
        <f>M26*'Entrada de dades'!$B$8*'Entrada de dades'!$B$13</f>
        <v>44.33211349098621</v>
      </c>
      <c r="T26" s="124">
        <f>N26*'Entrada de dades'!$B$8*'Entrada de dades'!$B$12</f>
        <v>3195.8531284484507</v>
      </c>
      <c r="U26" s="124">
        <f>O26*'Entrada de dades'!$B$8*'Entrada de dades'!$B$14</f>
        <v>56.02048465566449</v>
      </c>
      <c r="V26" s="124">
        <f>P26*'Entrada de dades'!$B$8*'Entrada de dades'!$B$15</f>
        <v>15.685193804000001</v>
      </c>
      <c r="W26" s="124">
        <f>Q26*'Entrada de dades'!$B$8*'Entrada de dades'!$B$15</f>
        <v>25.186457791659269</v>
      </c>
      <c r="X26" s="124">
        <f>L26*(1-'Entrada de dades'!$B$8)*'Entrada de dades'!$B$11*('Entrada de dades'!$B$8/(1*(1/'Entrada de dades'!$B$8)))</f>
        <v>67.589373816476055</v>
      </c>
      <c r="Y26" s="124">
        <f>M26*(1-'Entrada de dades'!$B$8)*'Entrada de dades'!$B$13*('Entrada de dades'!$B$8/(1*(1/'Entrada de dades'!$B$8)))</f>
        <v>8.0861775007558858</v>
      </c>
      <c r="Z26" s="124">
        <f>N26*(1-'Entrada de dades'!$B$8)*'Entrada de dades'!$B$12*('Entrada de dades'!$B$8/(1*(1/'Entrada de dades'!$B$8)))</f>
        <v>582.92361062899738</v>
      </c>
      <c r="AA26" s="124">
        <f>O26*(1-'Entrada de dades'!$B$8)*'Entrada de dades'!$B$14*('Entrada de dades'!$B$8/(1*(1/'Entrada de dades'!$B$8)))</f>
        <v>10.218136401193204</v>
      </c>
      <c r="AB26" s="124">
        <f>P26*(1-'Entrada de dades'!$B$8)*'Entrada de dades'!$B$15*('Entrada de dades'!$B$8/(1*(1/'Entrada de dades'!$B$8)))</f>
        <v>2.8609793498495999</v>
      </c>
      <c r="AC26" s="124">
        <f>Q26*(1-'Entrada de dades'!$B$8)*'Entrada de dades'!$B$15*('Entrada de dades'!$B$8/(1*(1/'Entrada de dades'!$B$8)))</f>
        <v>4.5940099011986506</v>
      </c>
      <c r="AD26" s="124">
        <f t="shared" si="52"/>
        <v>438.14515131908604</v>
      </c>
      <c r="AE26" s="124">
        <f t="shared" si="52"/>
        <v>52.418290991742097</v>
      </c>
      <c r="AF26" s="124">
        <f t="shared" si="52"/>
        <v>3778.7767390774479</v>
      </c>
      <c r="AG26" s="124">
        <f t="shared" si="52"/>
        <v>66.238621056857696</v>
      </c>
      <c r="AH26" s="124">
        <f t="shared" si="52"/>
        <v>18.546173153849601</v>
      </c>
      <c r="AI26" s="124">
        <f t="shared" si="52"/>
        <v>29.780467692857918</v>
      </c>
      <c r="AJ26" s="124">
        <f>AD26*('[1]Entrada de dades'!$B$19+'[1]Entrada de dades'!$B$20)</f>
        <v>262.88709079145167</v>
      </c>
      <c r="AK26" s="124">
        <f>AE26*('[1]Entrada de dades'!$B$19+'[1]Entrada de dades'!$B$20)</f>
        <v>31.450974595045263</v>
      </c>
      <c r="AL26" s="124">
        <f>AF26*('[1]Entrada de dades'!$B$19+'[1]Entrada de dades'!$B$20)</f>
        <v>2267.2660434464692</v>
      </c>
      <c r="AM26" s="124">
        <f>AG26*('[1]Entrada de dades'!$B$19+'[1]Entrada de dades'!$B$20)</f>
        <v>39.743172634114622</v>
      </c>
      <c r="AN26" s="124">
        <f>AH26*('[1]Entrada de dades'!$B$19+'[1]Entrada de dades'!$B$20)</f>
        <v>11.127703892309762</v>
      </c>
      <c r="AO26" s="124">
        <f>AI26*('[1]Entrada de dades'!$B$19+'[1]Entrada de dades'!$B$20)</f>
        <v>17.868280615714752</v>
      </c>
      <c r="AP26" s="124">
        <f t="shared" si="51"/>
        <v>175.25806052763437</v>
      </c>
      <c r="AQ26" s="124">
        <f t="shared" si="51"/>
        <v>20.967316396696834</v>
      </c>
      <c r="AR26" s="124">
        <f t="shared" si="51"/>
        <v>1511.5106956309787</v>
      </c>
      <c r="AS26" s="124">
        <f t="shared" si="51"/>
        <v>26.495448422743074</v>
      </c>
      <c r="AT26" s="124">
        <f t="shared" si="51"/>
        <v>7.4184692615398387</v>
      </c>
      <c r="AU26" s="124">
        <f t="shared" si="51"/>
        <v>11.912187077143166</v>
      </c>
      <c r="AV26" s="92">
        <f t="shared" si="30"/>
        <v>336.43413589187344</v>
      </c>
      <c r="AW26" s="92">
        <f t="shared" si="47"/>
        <v>7.354286226141415</v>
      </c>
      <c r="AX26" s="92">
        <f t="shared" si="31"/>
        <v>5049.8060830335389</v>
      </c>
      <c r="AY26" s="92">
        <f t="shared" si="32"/>
        <v>749.56815883119191</v>
      </c>
      <c r="AZ26" s="92">
        <f t="shared" si="33"/>
        <v>249.81583961196492</v>
      </c>
      <c r="BA26" s="92">
        <f t="shared" si="34"/>
        <v>401.14111299473456</v>
      </c>
      <c r="BB26" s="92">
        <f t="shared" si="35"/>
        <v>37.07584270462106</v>
      </c>
      <c r="BC26" s="92">
        <f t="shared" si="36"/>
        <v>4.4455952590096475</v>
      </c>
      <c r="BD26" s="92">
        <f t="shared" si="37"/>
        <v>407.12540586820427</v>
      </c>
      <c r="BE26" s="92">
        <f t="shared" si="38"/>
        <v>32.496667490494389</v>
      </c>
      <c r="BF26" s="92">
        <f t="shared" si="39"/>
        <v>10.319090742801917</v>
      </c>
      <c r="BG26" s="92">
        <f t="shared" si="40"/>
        <v>16.569852224306146</v>
      </c>
      <c r="BH26" s="92">
        <f t="shared" si="41"/>
        <v>72769.749313272667</v>
      </c>
      <c r="BI26" s="92">
        <f t="shared" si="42"/>
        <v>4146.7805977479429</v>
      </c>
      <c r="BJ26" s="92">
        <f t="shared" si="43"/>
        <v>693402.28187271603</v>
      </c>
      <c r="BK26" s="92">
        <f t="shared" si="44"/>
        <v>46905.394431529683</v>
      </c>
      <c r="BL26" s="92">
        <f t="shared" si="45"/>
        <v>14823.486612767732</v>
      </c>
      <c r="BM26" s="92">
        <f t="shared" si="46"/>
        <v>23802.773785459354</v>
      </c>
    </row>
    <row r="27" spans="1:65" ht="10.5" x14ac:dyDescent="0.25">
      <c r="A27" s="66">
        <v>39139</v>
      </c>
      <c r="B27" s="66" t="s">
        <v>557</v>
      </c>
      <c r="C27" s="66" t="s">
        <v>71</v>
      </c>
      <c r="D27" s="67" t="s">
        <v>233</v>
      </c>
      <c r="E27" s="143"/>
      <c r="F27" s="143"/>
      <c r="G27" s="143"/>
      <c r="H27" s="91"/>
      <c r="I27" s="91"/>
      <c r="K27" s="91">
        <v>41564.038686110151</v>
      </c>
      <c r="L27" s="96">
        <v>12383.962219573352</v>
      </c>
      <c r="M27" s="100">
        <v>2195.5912174928144</v>
      </c>
      <c r="N27" s="104">
        <v>24188.815278468719</v>
      </c>
      <c r="O27" s="108">
        <v>1489.2853710971833</v>
      </c>
      <c r="P27" s="112">
        <v>1023.3459343570457</v>
      </c>
      <c r="Q27" s="116">
        <v>283.03866512103178</v>
      </c>
      <c r="R27" s="124">
        <f>L27*'Entrada de dades'!$B$8*'Entrada de dades'!$B$11</f>
        <v>1157.652788285717</v>
      </c>
      <c r="S27" s="124">
        <f>M27*'Entrada de dades'!$B$8*'Entrada de dades'!$B$13</f>
        <v>138.49789399944675</v>
      </c>
      <c r="T27" s="124">
        <f>N27*'Entrada de dades'!$B$8*'Entrada de dades'!$B$12</f>
        <v>5845.9528765003206</v>
      </c>
      <c r="U27" s="124">
        <f>O27*'Entrada de dades'!$B$8*'Entrada de dades'!$B$14</f>
        <v>318.05178385151453</v>
      </c>
      <c r="V27" s="124">
        <f>P27*'Entrada de dades'!$B$8*'Entrada de dades'!$B$15</f>
        <v>125.21660852792812</v>
      </c>
      <c r="W27" s="124">
        <f>Q27*'Entrada de dades'!$B$8*'Entrada de dades'!$B$15</f>
        <v>34.632611064209449</v>
      </c>
      <c r="X27" s="124">
        <f>L27*(1-'Entrada de dades'!$B$8)*'Entrada de dades'!$B$11*('Entrada de dades'!$B$8/(1*(1/'Entrada de dades'!$B$8)))</f>
        <v>211.15586858331474</v>
      </c>
      <c r="Y27" s="124">
        <f>M27*(1-'Entrada de dades'!$B$8)*'Entrada de dades'!$B$13*('Entrada de dades'!$B$8/(1*(1/'Entrada de dades'!$B$8)))</f>
        <v>25.262015865499087</v>
      </c>
      <c r="Z27" s="124">
        <f>N27*(1-'Entrada de dades'!$B$8)*'Entrada de dades'!$B$12*('Entrada de dades'!$B$8/(1*(1/'Entrada de dades'!$B$8)))</f>
        <v>1066.3018046736586</v>
      </c>
      <c r="AA27" s="124">
        <f>O27*(1-'Entrada de dades'!$B$8)*'Entrada de dades'!$B$14*('Entrada de dades'!$B$8/(1*(1/'Entrada de dades'!$B$8)))</f>
        <v>58.012645374516239</v>
      </c>
      <c r="AB27" s="124">
        <f>P27*(1-'Entrada de dades'!$B$8)*'Entrada de dades'!$B$15*('Entrada de dades'!$B$8/(1*(1/'Entrada de dades'!$B$8)))</f>
        <v>22.839509395494087</v>
      </c>
      <c r="AC27" s="124">
        <f>Q27*(1-'Entrada de dades'!$B$8)*'Entrada de dades'!$B$15*('Entrada de dades'!$B$8/(1*(1/'Entrada de dades'!$B$8)))</f>
        <v>6.3169882581118033</v>
      </c>
      <c r="AD27" s="124">
        <f t="shared" si="52"/>
        <v>1368.8086568690317</v>
      </c>
      <c r="AE27" s="124">
        <f t="shared" si="52"/>
        <v>163.75990986494583</v>
      </c>
      <c r="AF27" s="124">
        <f t="shared" si="52"/>
        <v>6912.2546811739794</v>
      </c>
      <c r="AG27" s="124">
        <f t="shared" si="52"/>
        <v>376.06442922603077</v>
      </c>
      <c r="AH27" s="124">
        <f t="shared" si="52"/>
        <v>148.05611792342219</v>
      </c>
      <c r="AI27" s="124">
        <f t="shared" si="52"/>
        <v>40.949599322321255</v>
      </c>
      <c r="AJ27" s="124">
        <f>AD27*('[1]Entrada de dades'!$B$19+'[1]Entrada de dades'!$B$20)</f>
        <v>821.28519412141907</v>
      </c>
      <c r="AK27" s="124">
        <f>AE27*('[1]Entrada de dades'!$B$19+'[1]Entrada de dades'!$B$20)</f>
        <v>98.255945918967512</v>
      </c>
      <c r="AL27" s="124">
        <f>AF27*('[1]Entrada de dades'!$B$19+'[1]Entrada de dades'!$B$20)</f>
        <v>4147.3528087043878</v>
      </c>
      <c r="AM27" s="124">
        <f>AG27*('[1]Entrada de dades'!$B$19+'[1]Entrada de dades'!$B$20)</f>
        <v>225.63865753561851</v>
      </c>
      <c r="AN27" s="124">
        <f>AH27*('[1]Entrada de dades'!$B$19+'[1]Entrada de dades'!$B$20)</f>
        <v>88.83367075405333</v>
      </c>
      <c r="AO27" s="124">
        <f>AI27*('[1]Entrada de dades'!$B$19+'[1]Entrada de dades'!$B$20)</f>
        <v>24.569759593392757</v>
      </c>
      <c r="AP27" s="124">
        <f t="shared" si="51"/>
        <v>547.5234627476126</v>
      </c>
      <c r="AQ27" s="124">
        <f t="shared" si="51"/>
        <v>65.503963945978313</v>
      </c>
      <c r="AR27" s="124">
        <f t="shared" si="51"/>
        <v>2764.9018724695916</v>
      </c>
      <c r="AS27" s="124">
        <f t="shared" si="51"/>
        <v>150.42577169041226</v>
      </c>
      <c r="AT27" s="124">
        <f t="shared" si="51"/>
        <v>59.222447169368863</v>
      </c>
      <c r="AU27" s="124">
        <f t="shared" si="51"/>
        <v>16.379839728928498</v>
      </c>
      <c r="AV27" s="92">
        <f t="shared" si="30"/>
        <v>1051.0534152634548</v>
      </c>
      <c r="AW27" s="92">
        <f t="shared" si="47"/>
        <v>22.975515354051897</v>
      </c>
      <c r="AX27" s="92">
        <f t="shared" si="31"/>
        <v>9237.2606657336582</v>
      </c>
      <c r="AY27" s="92">
        <f t="shared" si="32"/>
        <v>4255.6127727190251</v>
      </c>
      <c r="AZ27" s="92">
        <f t="shared" si="33"/>
        <v>1994.3070250614214</v>
      </c>
      <c r="BA27" s="92">
        <f t="shared" si="34"/>
        <v>551.58864589570794</v>
      </c>
      <c r="BB27" s="92">
        <f t="shared" si="35"/>
        <v>115.82858854425746</v>
      </c>
      <c r="BC27" s="92">
        <f t="shared" si="36"/>
        <v>13.888477955646055</v>
      </c>
      <c r="BD27" s="92">
        <f t="shared" si="37"/>
        <v>744.72631934968456</v>
      </c>
      <c r="BE27" s="92">
        <f t="shared" si="38"/>
        <v>184.4972089782907</v>
      </c>
      <c r="BF27" s="92">
        <f t="shared" si="39"/>
        <v>82.378424012592106</v>
      </c>
      <c r="BG27" s="92">
        <f t="shared" si="40"/>
        <v>22.784357062939545</v>
      </c>
      <c r="BH27" s="92">
        <f t="shared" si="41"/>
        <v>227339.87245623063</v>
      </c>
      <c r="BI27" s="92">
        <f t="shared" si="42"/>
        <v>12954.951488668146</v>
      </c>
      <c r="BJ27" s="92">
        <f t="shared" si="43"/>
        <v>1268392.7894563992</v>
      </c>
      <c r="BK27" s="92">
        <f t="shared" si="44"/>
        <v>266301.59419191047</v>
      </c>
      <c r="BL27" s="92">
        <f t="shared" si="45"/>
        <v>118337.50627528554</v>
      </c>
      <c r="BM27" s="92">
        <f t="shared" si="46"/>
        <v>32729.977894476542</v>
      </c>
    </row>
    <row r="28" spans="1:65" ht="10.5" x14ac:dyDescent="0.25">
      <c r="A28" s="66">
        <v>78549</v>
      </c>
      <c r="B28" s="66" t="s">
        <v>558</v>
      </c>
      <c r="C28" s="66" t="s">
        <v>71</v>
      </c>
      <c r="D28" s="67" t="s">
        <v>237</v>
      </c>
      <c r="E28" s="143"/>
      <c r="F28" s="143"/>
      <c r="G28" s="143"/>
      <c r="H28" s="91"/>
      <c r="I28" s="91"/>
      <c r="K28" s="91">
        <v>151374.27648806653</v>
      </c>
      <c r="L28" s="96">
        <v>78639.444987673298</v>
      </c>
      <c r="M28" s="100">
        <v>13942.232033827475</v>
      </c>
      <c r="N28" s="104">
        <v>53677.198580521203</v>
      </c>
      <c r="O28" s="108">
        <v>3655.5186381476315</v>
      </c>
      <c r="P28" s="112">
        <v>892.82399999999996</v>
      </c>
      <c r="Q28" s="116">
        <v>567.058247896951</v>
      </c>
      <c r="R28" s="124">
        <f>L28*'Entrada de dades'!$B$8*'Entrada de dades'!$B$11</f>
        <v>7351.2153174476998</v>
      </c>
      <c r="S28" s="124">
        <f>M28*'Entrada de dades'!$B$8*'Entrada de dades'!$B$13</f>
        <v>879.47599669383726</v>
      </c>
      <c r="T28" s="124">
        <f>N28*'Entrada de dades'!$B$8*'Entrada de dades'!$B$12</f>
        <v>12972.705352940364</v>
      </c>
      <c r="U28" s="124">
        <f>O28*'Entrada de dades'!$B$8*'Entrada de dades'!$B$14</f>
        <v>780.67256036280833</v>
      </c>
      <c r="V28" s="124">
        <f>P28*'Entrada de dades'!$B$8*'Entrada de dades'!$B$15</f>
        <v>109.24594464</v>
      </c>
      <c r="W28" s="124">
        <f>Q28*'Entrada de dades'!$B$8*'Entrada de dades'!$B$15</f>
        <v>69.385247212670933</v>
      </c>
      <c r="X28" s="124">
        <f>L28*(1-'Entrada de dades'!$B$8)*'Entrada de dades'!$B$11*('Entrada de dades'!$B$8/(1*(1/'Entrada de dades'!$B$8)))</f>
        <v>1340.8616739024603</v>
      </c>
      <c r="Y28" s="124">
        <f>M28*(1-'Entrada de dades'!$B$8)*'Entrada de dades'!$B$13*('Entrada de dades'!$B$8/(1*(1/'Entrada de dades'!$B$8)))</f>
        <v>160.41642179695592</v>
      </c>
      <c r="Z28" s="124">
        <f>N28*(1-'Entrada de dades'!$B$8)*'Entrada de dades'!$B$12*('Entrada de dades'!$B$8/(1*(1/'Entrada de dades'!$B$8)))</f>
        <v>2366.2214563763223</v>
      </c>
      <c r="AA28" s="124">
        <f>O28*(1-'Entrada de dades'!$B$8)*'Entrada de dades'!$B$14*('Entrada de dades'!$B$8/(1*(1/'Entrada de dades'!$B$8)))</f>
        <v>142.39467501017623</v>
      </c>
      <c r="AB28" s="124">
        <f>P28*(1-'Entrada de dades'!$B$8)*'Entrada de dades'!$B$15*('Entrada de dades'!$B$8/(1*(1/'Entrada de dades'!$B$8)))</f>
        <v>19.926460302335997</v>
      </c>
      <c r="AC28" s="124">
        <f>Q28*(1-'Entrada de dades'!$B$8)*'Entrada de dades'!$B$15*('Entrada de dades'!$B$8/(1*(1/'Entrada de dades'!$B$8)))</f>
        <v>12.655869091591175</v>
      </c>
      <c r="AD28" s="124">
        <f t="shared" si="52"/>
        <v>8692.0769913501608</v>
      </c>
      <c r="AE28" s="124">
        <f t="shared" si="52"/>
        <v>1039.8924184907933</v>
      </c>
      <c r="AF28" s="124">
        <f t="shared" si="52"/>
        <v>15338.926809316687</v>
      </c>
      <c r="AG28" s="124">
        <f t="shared" si="52"/>
        <v>923.06723537298456</v>
      </c>
      <c r="AH28" s="124">
        <f t="shared" si="52"/>
        <v>129.17240494233602</v>
      </c>
      <c r="AI28" s="124">
        <f t="shared" si="52"/>
        <v>82.041116304262104</v>
      </c>
      <c r="AJ28" s="124">
        <f>AD28*('[1]Entrada de dades'!$B$19+'[1]Entrada de dades'!$B$20)</f>
        <v>5215.2461948100972</v>
      </c>
      <c r="AK28" s="124">
        <f>AE28*('[1]Entrada de dades'!$B$19+'[1]Entrada de dades'!$B$20)</f>
        <v>623.93545109447609</v>
      </c>
      <c r="AL28" s="124">
        <f>AF28*('[1]Entrada de dades'!$B$19+'[1]Entrada de dades'!$B$20)</f>
        <v>9203.3560855900141</v>
      </c>
      <c r="AM28" s="124">
        <f>AG28*('[1]Entrada de dades'!$B$19+'[1]Entrada de dades'!$B$20)</f>
        <v>553.8403412237908</v>
      </c>
      <c r="AN28" s="124">
        <f>AH28*('[1]Entrada de dades'!$B$19+'[1]Entrada de dades'!$B$20)</f>
        <v>77.503442965401618</v>
      </c>
      <c r="AO28" s="124">
        <f>AI28*('[1]Entrada de dades'!$B$19+'[1]Entrada de dades'!$B$20)</f>
        <v>49.224669782557271</v>
      </c>
      <c r="AP28" s="124">
        <f t="shared" si="51"/>
        <v>3476.8307965400636</v>
      </c>
      <c r="AQ28" s="124">
        <f t="shared" si="51"/>
        <v>415.95696739631717</v>
      </c>
      <c r="AR28" s="124">
        <f t="shared" si="51"/>
        <v>6135.5707237266724</v>
      </c>
      <c r="AS28" s="124">
        <f t="shared" si="51"/>
        <v>369.22689414919375</v>
      </c>
      <c r="AT28" s="124">
        <f t="shared" si="51"/>
        <v>51.668961976934398</v>
      </c>
      <c r="AU28" s="124">
        <f t="shared" si="51"/>
        <v>32.816446521704833</v>
      </c>
      <c r="AV28" s="92">
        <f t="shared" si="30"/>
        <v>6674.2982385781343</v>
      </c>
      <c r="AW28" s="92">
        <f t="shared" si="47"/>
        <v>145.89690631425827</v>
      </c>
      <c r="AX28" s="92">
        <f t="shared" si="31"/>
        <v>20498.328230898449</v>
      </c>
      <c r="AY28" s="92">
        <f t="shared" si="32"/>
        <v>10445.594987583061</v>
      </c>
      <c r="AZ28" s="92">
        <f t="shared" si="33"/>
        <v>1739.9445442289696</v>
      </c>
      <c r="BA28" s="92">
        <f t="shared" si="34"/>
        <v>1105.0889141514322</v>
      </c>
      <c r="BB28" s="92">
        <f t="shared" si="35"/>
        <v>735.52355500805061</v>
      </c>
      <c r="BC28" s="92">
        <f t="shared" si="36"/>
        <v>88.19327601220418</v>
      </c>
      <c r="BD28" s="92">
        <f t="shared" si="37"/>
        <v>1652.6159744357801</v>
      </c>
      <c r="BE28" s="92">
        <f t="shared" si="38"/>
        <v>452.85678567398622</v>
      </c>
      <c r="BF28" s="92">
        <f t="shared" si="39"/>
        <v>71.871526109915749</v>
      </c>
      <c r="BG28" s="92">
        <f t="shared" si="40"/>
        <v>45.647677111691436</v>
      </c>
      <c r="BH28" s="92">
        <f t="shared" si="41"/>
        <v>1443631.7776607636</v>
      </c>
      <c r="BI28" s="92">
        <f t="shared" si="42"/>
        <v>82265.286089203946</v>
      </c>
      <c r="BJ28" s="92">
        <f t="shared" si="43"/>
        <v>2814679.8780325563</v>
      </c>
      <c r="BK28" s="92">
        <f t="shared" si="44"/>
        <v>653649.36756196199</v>
      </c>
      <c r="BL28" s="92">
        <f t="shared" si="45"/>
        <v>103244.23262511604</v>
      </c>
      <c r="BM28" s="92">
        <f t="shared" si="46"/>
        <v>65573.386980931886</v>
      </c>
    </row>
    <row r="29" spans="1:65" ht="10.5" x14ac:dyDescent="0.25">
      <c r="A29" s="66">
        <v>216204</v>
      </c>
      <c r="B29" s="66" t="s">
        <v>559</v>
      </c>
      <c r="C29" s="66" t="s">
        <v>71</v>
      </c>
      <c r="D29" s="67" t="s">
        <v>239</v>
      </c>
      <c r="E29" s="143"/>
      <c r="F29" s="143"/>
      <c r="G29" s="143"/>
      <c r="H29" s="91"/>
      <c r="I29" s="91"/>
      <c r="K29" s="91">
        <v>487933.19390446995</v>
      </c>
      <c r="L29" s="96">
        <v>290509.90601335774</v>
      </c>
      <c r="M29" s="100">
        <v>51505.405695558213</v>
      </c>
      <c r="N29" s="104">
        <v>135133.89864358999</v>
      </c>
      <c r="O29" s="108">
        <v>6007.9125765852277</v>
      </c>
      <c r="P29" s="112">
        <v>3212.1368600000001</v>
      </c>
      <c r="Q29" s="116">
        <v>1563.9341153787077</v>
      </c>
      <c r="R29" s="124">
        <f>L29*'Entrada de dades'!$B$8*'Entrada de dades'!$B$11</f>
        <v>27156.866014128682</v>
      </c>
      <c r="S29" s="124">
        <f>M29*'Entrada de dades'!$B$8*'Entrada de dades'!$B$13</f>
        <v>3248.9609912758124</v>
      </c>
      <c r="T29" s="124">
        <f>N29*'Entrada de dades'!$B$8*'Entrada de dades'!$B$12</f>
        <v>32659.16062418283</v>
      </c>
      <c r="U29" s="124">
        <f>O29*'Entrada de dades'!$B$8*'Entrada de dades'!$B$14</f>
        <v>1283.0498098555415</v>
      </c>
      <c r="V29" s="124">
        <f>P29*'Entrada de dades'!$B$8*'Entrada de dades'!$B$15</f>
        <v>393.03706618960001</v>
      </c>
      <c r="W29" s="124">
        <f>Q29*'Entrada de dades'!$B$8*'Entrada de dades'!$B$15</f>
        <v>191.36297835773868</v>
      </c>
      <c r="X29" s="124">
        <f>L29*(1-'Entrada de dades'!$B$8)*'Entrada de dades'!$B$11*('Entrada de dades'!$B$8/(1*(1/'Entrada de dades'!$B$8)))</f>
        <v>4953.4123609770713</v>
      </c>
      <c r="Y29" s="124">
        <f>M29*(1-'Entrada de dades'!$B$8)*'Entrada de dades'!$B$13*('Entrada de dades'!$B$8/(1*(1/'Entrada de dades'!$B$8)))</f>
        <v>592.61048480870807</v>
      </c>
      <c r="Z29" s="124">
        <f>N29*(1-'Entrada de dades'!$B$8)*'Entrada de dades'!$B$12*('Entrada de dades'!$B$8/(1*(1/'Entrada de dades'!$B$8)))</f>
        <v>5957.0308978509474</v>
      </c>
      <c r="AA29" s="124">
        <f>O29*(1-'Entrada de dades'!$B$8)*'Entrada de dades'!$B$14*('Entrada de dades'!$B$8/(1*(1/'Entrada de dades'!$B$8)))</f>
        <v>234.02828531765073</v>
      </c>
      <c r="AB29" s="124">
        <f>P29*(1-'Entrada de dades'!$B$8)*'Entrada de dades'!$B$15*('Entrada de dades'!$B$8/(1*(1/'Entrada de dades'!$B$8)))</f>
        <v>71.68996087298305</v>
      </c>
      <c r="AC29" s="124">
        <f>Q29*(1-'Entrada de dades'!$B$8)*'Entrada de dades'!$B$15*('Entrada de dades'!$B$8/(1*(1/'Entrada de dades'!$B$8)))</f>
        <v>34.904607252451534</v>
      </c>
      <c r="AD29" s="124">
        <f t="shared" si="52"/>
        <v>32110.278375105754</v>
      </c>
      <c r="AE29" s="124">
        <f t="shared" si="52"/>
        <v>3841.5714760845203</v>
      </c>
      <c r="AF29" s="124">
        <f t="shared" si="52"/>
        <v>38616.191522033776</v>
      </c>
      <c r="AG29" s="124">
        <f t="shared" si="52"/>
        <v>1517.0780951731922</v>
      </c>
      <c r="AH29" s="124">
        <f t="shared" si="52"/>
        <v>464.72702706258303</v>
      </c>
      <c r="AI29" s="124">
        <f t="shared" si="52"/>
        <v>226.26758561019022</v>
      </c>
      <c r="AJ29" s="124">
        <f>AD29*('[1]Entrada de dades'!$B$19+'[1]Entrada de dades'!$B$20)</f>
        <v>19266.167025063456</v>
      </c>
      <c r="AK29" s="124">
        <f>AE29*('[1]Entrada de dades'!$B$19+'[1]Entrada de dades'!$B$20)</f>
        <v>2304.9428856507125</v>
      </c>
      <c r="AL29" s="124">
        <f>AF29*('[1]Entrada de dades'!$B$19+'[1]Entrada de dades'!$B$20)</f>
        <v>23169.714913220268</v>
      </c>
      <c r="AM29" s="124">
        <f>AG29*('[1]Entrada de dades'!$B$19+'[1]Entrada de dades'!$B$20)</f>
        <v>910.24685710391543</v>
      </c>
      <c r="AN29" s="124">
        <f>AH29*('[1]Entrada de dades'!$B$19+'[1]Entrada de dades'!$B$20)</f>
        <v>278.83621623754988</v>
      </c>
      <c r="AO29" s="124">
        <f>AI29*('[1]Entrada de dades'!$B$19+'[1]Entrada de dades'!$B$20)</f>
        <v>135.76055136611416</v>
      </c>
      <c r="AP29" s="124">
        <f t="shared" si="51"/>
        <v>12844.111350042298</v>
      </c>
      <c r="AQ29" s="124">
        <f t="shared" si="51"/>
        <v>1536.6285904338079</v>
      </c>
      <c r="AR29" s="124">
        <f t="shared" si="51"/>
        <v>15446.476608813507</v>
      </c>
      <c r="AS29" s="124">
        <f t="shared" si="51"/>
        <v>606.83123806927676</v>
      </c>
      <c r="AT29" s="124">
        <f t="shared" si="51"/>
        <v>185.89081082503316</v>
      </c>
      <c r="AU29" s="124">
        <f t="shared" si="51"/>
        <v>90.507034244076067</v>
      </c>
      <c r="AV29" s="92">
        <f t="shared" si="30"/>
        <v>24656.198353108703</v>
      </c>
      <c r="AW29" s="92">
        <f t="shared" si="47"/>
        <v>538.97247809465807</v>
      </c>
      <c r="AX29" s="92">
        <f t="shared" si="31"/>
        <v>51605.133702385065</v>
      </c>
      <c r="AY29" s="92">
        <f t="shared" si="32"/>
        <v>17167.528799036976</v>
      </c>
      <c r="AZ29" s="92">
        <f t="shared" si="33"/>
        <v>6259.8451709113688</v>
      </c>
      <c r="BA29" s="92">
        <f t="shared" si="34"/>
        <v>3047.8108021141256</v>
      </c>
      <c r="BB29" s="92">
        <f t="shared" si="35"/>
        <v>2717.1717561014489</v>
      </c>
      <c r="BC29" s="92">
        <f t="shared" si="36"/>
        <v>325.80367688672817</v>
      </c>
      <c r="BD29" s="92">
        <f t="shared" si="37"/>
        <v>4160.5084745839195</v>
      </c>
      <c r="BE29" s="92">
        <f t="shared" si="38"/>
        <v>744.27851349196817</v>
      </c>
      <c r="BF29" s="92">
        <f t="shared" si="39"/>
        <v>258.57411785762122</v>
      </c>
      <c r="BG29" s="92">
        <f t="shared" si="40"/>
        <v>125.89528463350983</v>
      </c>
      <c r="BH29" s="92">
        <f t="shared" si="41"/>
        <v>5333065.7675911132</v>
      </c>
      <c r="BI29" s="92">
        <f t="shared" si="42"/>
        <v>303904.49136159034</v>
      </c>
      <c r="BJ29" s="92">
        <f t="shared" si="43"/>
        <v>7086037.9343684884</v>
      </c>
      <c r="BK29" s="92">
        <f t="shared" si="44"/>
        <v>1074284.8402060024</v>
      </c>
      <c r="BL29" s="92">
        <f t="shared" si="45"/>
        <v>371444.5458427975</v>
      </c>
      <c r="BM29" s="92">
        <f t="shared" si="46"/>
        <v>180849.95208295743</v>
      </c>
    </row>
    <row r="30" spans="1:65" ht="10.5" x14ac:dyDescent="0.25">
      <c r="A30" s="66">
        <v>37283</v>
      </c>
      <c r="B30" s="66" t="s">
        <v>560</v>
      </c>
      <c r="C30" s="66" t="s">
        <v>71</v>
      </c>
      <c r="D30" s="67" t="s">
        <v>243</v>
      </c>
      <c r="E30" s="143"/>
      <c r="F30" s="143"/>
      <c r="G30" s="143"/>
      <c r="H30" s="91"/>
      <c r="I30" s="91"/>
      <c r="K30" s="91">
        <v>34685.936902009991</v>
      </c>
      <c r="L30" s="96">
        <v>11605.724645127046</v>
      </c>
      <c r="M30" s="100">
        <v>2057.6150549947915</v>
      </c>
      <c r="N30" s="104">
        <v>18838.387676923496</v>
      </c>
      <c r="O30" s="108">
        <v>930.80335693573954</v>
      </c>
      <c r="P30" s="112">
        <v>981.84570352627247</v>
      </c>
      <c r="Q30" s="116">
        <v>271.56046450264887</v>
      </c>
      <c r="R30" s="124">
        <f>L30*'Entrada de dades'!$B$8*'Entrada de dades'!$B$11</f>
        <v>1084.9031398264763</v>
      </c>
      <c r="S30" s="124">
        <f>M30*'Entrada de dades'!$B$8*'Entrada de dades'!$B$13</f>
        <v>129.79435766907145</v>
      </c>
      <c r="T30" s="124">
        <f>N30*'Entrada de dades'!$B$8*'Entrada de dades'!$B$12</f>
        <v>4552.8615337588708</v>
      </c>
      <c r="U30" s="124">
        <f>O30*'Entrada de dades'!$B$8*'Entrada de dades'!$B$14</f>
        <v>198.78236490719655</v>
      </c>
      <c r="V30" s="124">
        <f>P30*'Entrada de dades'!$B$8*'Entrada de dades'!$B$15</f>
        <v>120.1386402834747</v>
      </c>
      <c r="W30" s="124">
        <f>Q30*'Entrada de dades'!$B$8*'Entrada de dades'!$B$15</f>
        <v>33.228138436544121</v>
      </c>
      <c r="X30" s="124">
        <f>L30*(1-'Entrada de dades'!$B$8)*'Entrada de dades'!$B$11*('Entrada de dades'!$B$8/(1*(1/'Entrada de dades'!$B$8)))</f>
        <v>197.88633270434923</v>
      </c>
      <c r="Y30" s="124">
        <f>M30*(1-'Entrada de dades'!$B$8)*'Entrada de dades'!$B$13*('Entrada de dades'!$B$8/(1*(1/'Entrada de dades'!$B$8)))</f>
        <v>23.674490838838633</v>
      </c>
      <c r="Z30" s="124">
        <f>N30*(1-'Entrada de dades'!$B$8)*'Entrada de dades'!$B$12*('Entrada de dades'!$B$8/(1*(1/'Entrada de dades'!$B$8)))</f>
        <v>830.44194375761788</v>
      </c>
      <c r="AA30" s="124">
        <f>O30*(1-'Entrada de dades'!$B$8)*'Entrada de dades'!$B$14*('Entrada de dades'!$B$8/(1*(1/'Entrada de dades'!$B$8)))</f>
        <v>36.25790335907265</v>
      </c>
      <c r="AB30" s="124">
        <f>P30*(1-'Entrada de dades'!$B$8)*'Entrada de dades'!$B$15*('Entrada de dades'!$B$8/(1*(1/'Entrada de dades'!$B$8)))</f>
        <v>21.913287987705786</v>
      </c>
      <c r="AC30" s="124">
        <f>Q30*(1-'Entrada de dades'!$B$8)*'Entrada de dades'!$B$15*('Entrada de dades'!$B$8/(1*(1/'Entrada de dades'!$B$8)))</f>
        <v>6.0608124508256465</v>
      </c>
      <c r="AD30" s="124">
        <f t="shared" si="52"/>
        <v>1282.7894725308256</v>
      </c>
      <c r="AE30" s="124">
        <f t="shared" si="52"/>
        <v>153.46884850791008</v>
      </c>
      <c r="AF30" s="124">
        <f t="shared" si="52"/>
        <v>5383.3034775164888</v>
      </c>
      <c r="AG30" s="124">
        <f t="shared" si="52"/>
        <v>235.04026826626921</v>
      </c>
      <c r="AH30" s="124">
        <f t="shared" si="52"/>
        <v>142.05192827118049</v>
      </c>
      <c r="AI30" s="124">
        <f t="shared" si="52"/>
        <v>39.288950887369765</v>
      </c>
      <c r="AJ30" s="124">
        <f>AD30*('[1]Entrada de dades'!$B$19+'[1]Entrada de dades'!$B$20)</f>
        <v>769.67368351849552</v>
      </c>
      <c r="AK30" s="124">
        <f>AE30*('[1]Entrada de dades'!$B$19+'[1]Entrada de dades'!$B$20)</f>
        <v>92.081309104746069</v>
      </c>
      <c r="AL30" s="124">
        <f>AF30*('[1]Entrada de dades'!$B$19+'[1]Entrada de dades'!$B$20)</f>
        <v>3229.9820865098936</v>
      </c>
      <c r="AM30" s="124">
        <f>AG30*('[1]Entrada de dades'!$B$19+'[1]Entrada de dades'!$B$20)</f>
        <v>141.02416095976156</v>
      </c>
      <c r="AN30" s="124">
        <f>AH30*('[1]Entrada de dades'!$B$19+'[1]Entrada de dades'!$B$20)</f>
        <v>85.231156962708297</v>
      </c>
      <c r="AO30" s="124">
        <f>AI30*('[1]Entrada de dades'!$B$19+'[1]Entrada de dades'!$B$20)</f>
        <v>23.573370532421862</v>
      </c>
      <c r="AP30" s="124">
        <f t="shared" si="51"/>
        <v>513.11578901233008</v>
      </c>
      <c r="AQ30" s="124">
        <f t="shared" si="51"/>
        <v>61.387539403164013</v>
      </c>
      <c r="AR30" s="124">
        <f t="shared" si="51"/>
        <v>2153.3213910065951</v>
      </c>
      <c r="AS30" s="124">
        <f t="shared" si="51"/>
        <v>94.016107306507649</v>
      </c>
      <c r="AT30" s="124">
        <f t="shared" si="51"/>
        <v>56.820771308472189</v>
      </c>
      <c r="AU30" s="124">
        <f t="shared" si="51"/>
        <v>15.715580354947903</v>
      </c>
      <c r="AV30" s="92">
        <f t="shared" si="30"/>
        <v>985.00272437751983</v>
      </c>
      <c r="AW30" s="92">
        <f t="shared" si="47"/>
        <v>21.531679445659783</v>
      </c>
      <c r="AX30" s="92">
        <f t="shared" si="31"/>
        <v>7194.0314352139358</v>
      </c>
      <c r="AY30" s="92">
        <f t="shared" si="32"/>
        <v>2659.7579829493902</v>
      </c>
      <c r="AZ30" s="92">
        <f t="shared" si="33"/>
        <v>1913.4309506971049</v>
      </c>
      <c r="BA30" s="92">
        <f t="shared" si="34"/>
        <v>529.21981111581749</v>
      </c>
      <c r="BB30" s="92">
        <f t="shared" si="35"/>
        <v>108.54964516555846</v>
      </c>
      <c r="BC30" s="92">
        <f t="shared" si="36"/>
        <v>13.015693041955855</v>
      </c>
      <c r="BD30" s="92">
        <f t="shared" si="37"/>
        <v>579.99711666762653</v>
      </c>
      <c r="BE30" s="92">
        <f t="shared" si="38"/>
        <v>115.31075561143167</v>
      </c>
      <c r="BF30" s="92">
        <f t="shared" si="39"/>
        <v>79.037692890084813</v>
      </c>
      <c r="BG30" s="92">
        <f t="shared" si="40"/>
        <v>21.860372273732537</v>
      </c>
      <c r="BH30" s="92">
        <f t="shared" si="41"/>
        <v>213053.29536738642</v>
      </c>
      <c r="BI30" s="92">
        <f t="shared" si="42"/>
        <v>12140.831593528634</v>
      </c>
      <c r="BJ30" s="92">
        <f t="shared" si="43"/>
        <v>987831.55848328501</v>
      </c>
      <c r="BK30" s="92">
        <f t="shared" si="44"/>
        <v>166438.49636994404</v>
      </c>
      <c r="BL30" s="92">
        <f t="shared" si="45"/>
        <v>113538.50951233074</v>
      </c>
      <c r="BM30" s="92">
        <f t="shared" si="46"/>
        <v>31402.663648038186</v>
      </c>
    </row>
    <row r="31" spans="1:65" ht="10.5" x14ac:dyDescent="0.25">
      <c r="A31" s="66">
        <v>27175</v>
      </c>
      <c r="B31" s="66" t="s">
        <v>561</v>
      </c>
      <c r="C31" s="66" t="s">
        <v>71</v>
      </c>
      <c r="D31" s="67" t="s">
        <v>245</v>
      </c>
      <c r="E31" s="143"/>
      <c r="F31" s="143"/>
      <c r="G31" s="143"/>
      <c r="H31" s="91"/>
      <c r="I31" s="91"/>
      <c r="K31" s="91">
        <v>34586.253566185303</v>
      </c>
      <c r="L31" s="96">
        <v>13757.015623128569</v>
      </c>
      <c r="M31" s="100">
        <v>2439.0241302022582</v>
      </c>
      <c r="N31" s="104">
        <v>15919.04790193589</v>
      </c>
      <c r="O31" s="108">
        <v>1540.0564632936782</v>
      </c>
      <c r="P31" s="112">
        <v>729.37714364441911</v>
      </c>
      <c r="Q31" s="116">
        <v>201.73230398048352</v>
      </c>
      <c r="R31" s="124">
        <f>L31*'Entrada de dades'!$B$8*'Entrada de dades'!$B$11</f>
        <v>1286.0058204500585</v>
      </c>
      <c r="S31" s="124">
        <f>M31*'Entrada de dades'!$B$8*'Entrada de dades'!$B$13</f>
        <v>153.85364213315847</v>
      </c>
      <c r="T31" s="124">
        <f>N31*'Entrada de dades'!$B$8*'Entrada de dades'!$B$12</f>
        <v>3847.3154969398656</v>
      </c>
      <c r="U31" s="124">
        <f>O31*'Entrada de dades'!$B$8*'Entrada de dades'!$B$14</f>
        <v>328.894458300998</v>
      </c>
      <c r="V31" s="124">
        <f>P31*'Entrada de dades'!$B$8*'Entrada de dades'!$B$15</f>
        <v>89.246587296331128</v>
      </c>
      <c r="W31" s="124">
        <f>Q31*'Entrada de dades'!$B$8*'Entrada de dades'!$B$15</f>
        <v>24.683964715051967</v>
      </c>
      <c r="X31" s="124">
        <f>L31*(1-'Entrada de dades'!$B$8)*'Entrada de dades'!$B$11*('Entrada de dades'!$B$8/(1*(1/'Entrada de dades'!$B$8)))</f>
        <v>234.56746165009071</v>
      </c>
      <c r="Y31" s="124">
        <f>M31*(1-'Entrada de dades'!$B$8)*'Entrada de dades'!$B$13*('Entrada de dades'!$B$8/(1*(1/'Entrada de dades'!$B$8)))</f>
        <v>28.062904325088105</v>
      </c>
      <c r="Z31" s="124">
        <f>N31*(1-'Entrada de dades'!$B$8)*'Entrada de dades'!$B$12*('Entrada de dades'!$B$8/(1*(1/'Entrada de dades'!$B$8)))</f>
        <v>701.75034664183158</v>
      </c>
      <c r="AA31" s="124">
        <f>O31*(1-'Entrada de dades'!$B$8)*'Entrada de dades'!$B$14*('Entrada de dades'!$B$8/(1*(1/'Entrada de dades'!$B$8)))</f>
        <v>59.990349194102031</v>
      </c>
      <c r="AB31" s="124">
        <f>P31*(1-'Entrada de dades'!$B$8)*'Entrada de dades'!$B$15*('Entrada de dades'!$B$8/(1*(1/'Entrada de dades'!$B$8)))</f>
        <v>16.278577522850796</v>
      </c>
      <c r="AC31" s="124">
        <f>Q31*(1-'Entrada de dades'!$B$8)*'Entrada de dades'!$B$15*('Entrada de dades'!$B$8/(1*(1/'Entrada de dades'!$B$8)))</f>
        <v>4.5023551640254782</v>
      </c>
      <c r="AD31" s="124">
        <f t="shared" si="52"/>
        <v>1520.5732821001493</v>
      </c>
      <c r="AE31" s="124">
        <f t="shared" si="52"/>
        <v>181.91654645824659</v>
      </c>
      <c r="AF31" s="124">
        <f t="shared" si="52"/>
        <v>4549.0658435816968</v>
      </c>
      <c r="AG31" s="124">
        <f t="shared" si="52"/>
        <v>388.88480749510001</v>
      </c>
      <c r="AH31" s="124">
        <f t="shared" si="52"/>
        <v>105.52516481918192</v>
      </c>
      <c r="AI31" s="124">
        <f t="shared" si="52"/>
        <v>29.186319879077445</v>
      </c>
      <c r="AJ31" s="124">
        <f>AD31*('[1]Entrada de dades'!$B$19+'[1]Entrada de dades'!$B$20)</f>
        <v>912.34396926008969</v>
      </c>
      <c r="AK31" s="124">
        <f>AE31*('[1]Entrada de dades'!$B$19+'[1]Entrada de dades'!$B$20)</f>
        <v>109.14992787494796</v>
      </c>
      <c r="AL31" s="124">
        <f>AF31*('[1]Entrada de dades'!$B$19+'[1]Entrada de dades'!$B$20)</f>
        <v>2729.4395061490186</v>
      </c>
      <c r="AM31" s="124">
        <f>AG31*('[1]Entrada de dades'!$B$19+'[1]Entrada de dades'!$B$20)</f>
        <v>233.33088449706003</v>
      </c>
      <c r="AN31" s="124">
        <f>AH31*('[1]Entrada de dades'!$B$19+'[1]Entrada de dades'!$B$20)</f>
        <v>63.315098891509166</v>
      </c>
      <c r="AO31" s="124">
        <f>AI31*('[1]Entrada de dades'!$B$19+'[1]Entrada de dades'!$B$20)</f>
        <v>17.51179192744647</v>
      </c>
      <c r="AP31" s="124">
        <f t="shared" si="51"/>
        <v>608.22931284005961</v>
      </c>
      <c r="AQ31" s="124">
        <f t="shared" si="51"/>
        <v>72.766618583298623</v>
      </c>
      <c r="AR31" s="124">
        <f t="shared" si="51"/>
        <v>1819.6263374326782</v>
      </c>
      <c r="AS31" s="124">
        <f t="shared" si="51"/>
        <v>155.55392299803998</v>
      </c>
      <c r="AT31" s="124">
        <f t="shared" si="51"/>
        <v>42.210065927672758</v>
      </c>
      <c r="AU31" s="124">
        <f t="shared" si="51"/>
        <v>11.674527951630974</v>
      </c>
      <c r="AV31" s="92">
        <f t="shared" si="30"/>
        <v>1167.5874003934207</v>
      </c>
      <c r="AW31" s="92">
        <f t="shared" si="47"/>
        <v>25.522891468091991</v>
      </c>
      <c r="AX31" s="92">
        <f t="shared" si="31"/>
        <v>6079.1896307288371</v>
      </c>
      <c r="AY31" s="92">
        <f t="shared" si="32"/>
        <v>4400.6904808799009</v>
      </c>
      <c r="AZ31" s="92">
        <f t="shared" si="33"/>
        <v>1421.4176386044915</v>
      </c>
      <c r="BA31" s="92">
        <f t="shared" si="34"/>
        <v>393.13797759198042</v>
      </c>
      <c r="BB31" s="92">
        <f t="shared" si="35"/>
        <v>128.67091113131465</v>
      </c>
      <c r="BC31" s="92">
        <f t="shared" si="36"/>
        <v>15.428342305123891</v>
      </c>
      <c r="BD31" s="92">
        <f t="shared" si="37"/>
        <v>490.11635398749206</v>
      </c>
      <c r="BE31" s="92">
        <f t="shared" si="38"/>
        <v>190.78688655709607</v>
      </c>
      <c r="BF31" s="92">
        <f t="shared" si="39"/>
        <v>58.714201705392824</v>
      </c>
      <c r="BG31" s="92">
        <f t="shared" si="40"/>
        <v>16.239268380718691</v>
      </c>
      <c r="BH31" s="92">
        <f t="shared" si="41"/>
        <v>252545.8428964885</v>
      </c>
      <c r="BI31" s="92">
        <f t="shared" si="42"/>
        <v>14391.312478714945</v>
      </c>
      <c r="BJ31" s="92">
        <f t="shared" si="43"/>
        <v>834749.67010061594</v>
      </c>
      <c r="BK31" s="92">
        <f t="shared" si="44"/>
        <v>275380.05763027107</v>
      </c>
      <c r="BL31" s="92">
        <f t="shared" si="45"/>
        <v>84343.592342798904</v>
      </c>
      <c r="BM31" s="92">
        <f t="shared" si="46"/>
        <v>23327.886481727266</v>
      </c>
    </row>
    <row r="32" spans="1:65" ht="10.5" x14ac:dyDescent="0.25">
      <c r="A32" s="66">
        <v>83755</v>
      </c>
      <c r="B32" s="66" t="s">
        <v>562</v>
      </c>
      <c r="C32" s="66" t="s">
        <v>71</v>
      </c>
      <c r="D32" s="67" t="s">
        <v>251</v>
      </c>
      <c r="E32" s="143"/>
      <c r="F32" s="143"/>
      <c r="G32" s="143"/>
      <c r="H32" s="91"/>
      <c r="I32" s="91"/>
      <c r="K32" s="91">
        <v>130431.50752716321</v>
      </c>
      <c r="L32" s="96">
        <v>70235.309305084462</v>
      </c>
      <c r="M32" s="100">
        <v>12452.236653661843</v>
      </c>
      <c r="N32" s="104">
        <v>41999.839480570794</v>
      </c>
      <c r="O32" s="108">
        <v>2919.3378012984558</v>
      </c>
      <c r="P32" s="112">
        <v>2212.772192989029</v>
      </c>
      <c r="Q32" s="116">
        <v>612.01209355861545</v>
      </c>
      <c r="R32" s="124">
        <f>L32*'Entrada de dades'!$B$8*'Entrada de dades'!$B$11</f>
        <v>6565.5967138392953</v>
      </c>
      <c r="S32" s="124">
        <f>M32*'Entrada de dades'!$B$8*'Entrada de dades'!$B$13</f>
        <v>785.48708811298911</v>
      </c>
      <c r="T32" s="124">
        <f>N32*'Entrada de dades'!$B$8*'Entrada de dades'!$B$12</f>
        <v>10150.52120566435</v>
      </c>
      <c r="U32" s="124">
        <f>O32*'Entrada de dades'!$B$8*'Entrada de dades'!$B$14</f>
        <v>623.4537808452983</v>
      </c>
      <c r="V32" s="124">
        <f>P32*'Entrada de dades'!$B$8*'Entrada de dades'!$B$15</f>
        <v>270.75480553413757</v>
      </c>
      <c r="W32" s="124">
        <f>Q32*'Entrada de dades'!$B$8*'Entrada de dades'!$B$15</f>
        <v>74.885799767832196</v>
      </c>
      <c r="X32" s="124">
        <f>L32*(1-'Entrada de dades'!$B$8)*'Entrada de dades'!$B$11*('Entrada de dades'!$B$8/(1*(1/'Entrada de dades'!$B$8)))</f>
        <v>1197.5648406042874</v>
      </c>
      <c r="Y32" s="124">
        <f>M32*(1-'Entrada de dades'!$B$8)*'Entrada de dades'!$B$13*('Entrada de dades'!$B$8/(1*(1/'Entrada de dades'!$B$8)))</f>
        <v>143.27284487180921</v>
      </c>
      <c r="Z32" s="124">
        <f>N32*(1-'Entrada de dades'!$B$8)*'Entrada de dades'!$B$12*('Entrada de dades'!$B$8/(1*(1/'Entrada de dades'!$B$8)))</f>
        <v>1851.4550679131773</v>
      </c>
      <c r="AA32" s="124">
        <f>O32*(1-'Entrada de dades'!$B$8)*'Entrada de dades'!$B$14*('Entrada de dades'!$B$8/(1*(1/'Entrada de dades'!$B$8)))</f>
        <v>113.71796962618241</v>
      </c>
      <c r="AB32" s="124">
        <f>P32*(1-'Entrada de dades'!$B$8)*'Entrada de dades'!$B$15*('Entrada de dades'!$B$8/(1*(1/'Entrada de dades'!$B$8)))</f>
        <v>49.385676529426696</v>
      </c>
      <c r="AC32" s="124">
        <f>Q32*(1-'Entrada de dades'!$B$8)*'Entrada de dades'!$B$15*('Entrada de dades'!$B$8/(1*(1/'Entrada de dades'!$B$8)))</f>
        <v>13.659169877652591</v>
      </c>
      <c r="AD32" s="124">
        <f t="shared" si="52"/>
        <v>7763.1615544435826</v>
      </c>
      <c r="AE32" s="124">
        <f t="shared" si="52"/>
        <v>928.7599329847983</v>
      </c>
      <c r="AF32" s="124">
        <f t="shared" si="52"/>
        <v>12001.976273577528</v>
      </c>
      <c r="AG32" s="124">
        <f t="shared" si="52"/>
        <v>737.17175047148066</v>
      </c>
      <c r="AH32" s="124">
        <f t="shared" si="52"/>
        <v>320.14048206356426</v>
      </c>
      <c r="AI32" s="124">
        <f t="shared" si="52"/>
        <v>88.544969645484784</v>
      </c>
      <c r="AJ32" s="124">
        <f>AD32*('[1]Entrada de dades'!$B$19+'[1]Entrada de dades'!$B$20)</f>
        <v>4657.89693266615</v>
      </c>
      <c r="AK32" s="124">
        <f>AE32*('[1]Entrada de dades'!$B$19+'[1]Entrada de dades'!$B$20)</f>
        <v>557.25595979087905</v>
      </c>
      <c r="AL32" s="124">
        <f>AF32*('[1]Entrada de dades'!$B$19+'[1]Entrada de dades'!$B$20)</f>
        <v>7201.1857641465176</v>
      </c>
      <c r="AM32" s="124">
        <f>AG32*('[1]Entrada de dades'!$B$19+'[1]Entrada de dades'!$B$20)</f>
        <v>442.30305028288848</v>
      </c>
      <c r="AN32" s="124">
        <f>AH32*('[1]Entrada de dades'!$B$19+'[1]Entrada de dades'!$B$20)</f>
        <v>192.08428923813858</v>
      </c>
      <c r="AO32" s="124">
        <f>AI32*('[1]Entrada de dades'!$B$19+'[1]Entrada de dades'!$B$20)</f>
        <v>53.12698178729088</v>
      </c>
      <c r="AP32" s="124">
        <f t="shared" si="51"/>
        <v>3105.2646217774327</v>
      </c>
      <c r="AQ32" s="124">
        <f t="shared" si="51"/>
        <v>371.50397319391925</v>
      </c>
      <c r="AR32" s="124">
        <f t="shared" si="51"/>
        <v>4800.7905094310099</v>
      </c>
      <c r="AS32" s="124">
        <f t="shared" si="51"/>
        <v>294.86870018859219</v>
      </c>
      <c r="AT32" s="124">
        <f t="shared" si="51"/>
        <v>128.05619282542568</v>
      </c>
      <c r="AU32" s="124">
        <f t="shared" si="51"/>
        <v>35.417987858193904</v>
      </c>
      <c r="AV32" s="92">
        <f t="shared" si="30"/>
        <v>5961.021231195049</v>
      </c>
      <c r="AW32" s="92">
        <f t="shared" si="47"/>
        <v>130.30501859776717</v>
      </c>
      <c r="AX32" s="92">
        <f t="shared" si="31"/>
        <v>16038.961012958067</v>
      </c>
      <c r="AY32" s="92">
        <f t="shared" si="32"/>
        <v>8341.9682192503606</v>
      </c>
      <c r="AZ32" s="92">
        <f t="shared" si="33"/>
        <v>4312.2730849672862</v>
      </c>
      <c r="BA32" s="92">
        <f t="shared" si="34"/>
        <v>1192.6954284265012</v>
      </c>
      <c r="BB32" s="92">
        <f t="shared" si="35"/>
        <v>656.91873073701595</v>
      </c>
      <c r="BC32" s="92">
        <f t="shared" si="36"/>
        <v>78.768129916440742</v>
      </c>
      <c r="BD32" s="92">
        <f t="shared" si="37"/>
        <v>1293.0929237152429</v>
      </c>
      <c r="BE32" s="92">
        <f t="shared" si="38"/>
        <v>361.6564607813084</v>
      </c>
      <c r="BF32" s="92">
        <f t="shared" si="39"/>
        <v>178.12616422016714</v>
      </c>
      <c r="BG32" s="92">
        <f t="shared" si="40"/>
        <v>49.266421110747729</v>
      </c>
      <c r="BH32" s="92">
        <f t="shared" si="41"/>
        <v>1289351.9841416238</v>
      </c>
      <c r="BI32" s="92">
        <f t="shared" si="42"/>
        <v>73473.659617666286</v>
      </c>
      <c r="BJ32" s="92">
        <f t="shared" si="43"/>
        <v>2202352.3245018809</v>
      </c>
      <c r="BK32" s="92">
        <f t="shared" si="44"/>
        <v>522011.64770573354</v>
      </c>
      <c r="BL32" s="92">
        <f t="shared" si="45"/>
        <v>255880.1813564011</v>
      </c>
      <c r="BM32" s="92">
        <f t="shared" si="46"/>
        <v>70771.752279004577</v>
      </c>
    </row>
    <row r="33" spans="1:65" ht="10.5" x14ac:dyDescent="0.25">
      <c r="A33" s="66">
        <v>94012</v>
      </c>
      <c r="B33" s="66" t="s">
        <v>563</v>
      </c>
      <c r="C33" s="66" t="s">
        <v>71</v>
      </c>
      <c r="D33" s="67" t="s">
        <v>259</v>
      </c>
      <c r="E33" s="143"/>
      <c r="F33" s="143"/>
      <c r="G33" s="143"/>
      <c r="H33" s="91"/>
      <c r="I33" s="91"/>
      <c r="K33" s="91">
        <v>207067.53423687714</v>
      </c>
      <c r="L33" s="96">
        <v>129723.17303588009</v>
      </c>
      <c r="M33" s="100">
        <v>22999.025220919273</v>
      </c>
      <c r="N33" s="104">
        <v>48723.475687075341</v>
      </c>
      <c r="O33" s="108">
        <v>2547.01645852416</v>
      </c>
      <c r="P33" s="112">
        <v>2408.6543411896364</v>
      </c>
      <c r="Q33" s="116">
        <v>666.18949328862345</v>
      </c>
      <c r="R33" s="124">
        <f>L33*'Entrada de dades'!$B$8*'Entrada de dades'!$B$11</f>
        <v>12126.52221539407</v>
      </c>
      <c r="S33" s="124">
        <f>M33*'Entrada de dades'!$B$8*'Entrada de dades'!$B$13</f>
        <v>1450.7785109355877</v>
      </c>
      <c r="T33" s="124">
        <f>N33*'Entrada de dades'!$B$8*'Entrada de dades'!$B$12</f>
        <v>11775.489604052369</v>
      </c>
      <c r="U33" s="124">
        <f>O33*'Entrada de dades'!$B$8*'Entrada de dades'!$B$14</f>
        <v>543.94083488241972</v>
      </c>
      <c r="V33" s="124">
        <f>P33*'Entrada de dades'!$B$8*'Entrada de dades'!$B$15</f>
        <v>294.72294518796394</v>
      </c>
      <c r="W33" s="124">
        <f>Q33*'Entrada de dades'!$B$8*'Entrada de dades'!$B$15</f>
        <v>81.514946398795971</v>
      </c>
      <c r="X33" s="124">
        <f>L33*(1-'Entrada de dades'!$B$8)*'Entrada de dades'!$B$11*('Entrada de dades'!$B$8/(1*(1/'Entrada de dades'!$B$8)))</f>
        <v>2211.8776520878782</v>
      </c>
      <c r="Y33" s="124">
        <f>M33*(1-'Entrada de dades'!$B$8)*'Entrada de dades'!$B$13*('Entrada de dades'!$B$8/(1*(1/'Entrada de dades'!$B$8)))</f>
        <v>264.6220003946512</v>
      </c>
      <c r="Z33" s="124">
        <f>N33*(1-'Entrada de dades'!$B$8)*'Entrada de dades'!$B$12*('Entrada de dades'!$B$8/(1*(1/'Entrada de dades'!$B$8)))</f>
        <v>2147.8493037791523</v>
      </c>
      <c r="AA33" s="124">
        <f>O33*(1-'Entrada de dades'!$B$8)*'Entrada de dades'!$B$14*('Entrada de dades'!$B$8/(1*(1/'Entrada de dades'!$B$8)))</f>
        <v>99.214808282553349</v>
      </c>
      <c r="AB33" s="124">
        <f>P33*(1-'Entrada de dades'!$B$8)*'Entrada de dades'!$B$15*('Entrada de dades'!$B$8/(1*(1/'Entrada de dades'!$B$8)))</f>
        <v>53.757465202284621</v>
      </c>
      <c r="AC33" s="124">
        <f>Q33*(1-'Entrada de dades'!$B$8)*'Entrada de dades'!$B$15*('Entrada de dades'!$B$8/(1*(1/'Entrada de dades'!$B$8)))</f>
        <v>14.868326223140384</v>
      </c>
      <c r="AD33" s="124">
        <f t="shared" si="52"/>
        <v>14338.399867481949</v>
      </c>
      <c r="AE33" s="124">
        <f t="shared" si="52"/>
        <v>1715.4005113302389</v>
      </c>
      <c r="AF33" s="124">
        <f t="shared" si="52"/>
        <v>13923.338907831521</v>
      </c>
      <c r="AG33" s="124">
        <f t="shared" si="52"/>
        <v>643.15564316497307</v>
      </c>
      <c r="AH33" s="124">
        <f t="shared" si="52"/>
        <v>348.48041039024855</v>
      </c>
      <c r="AI33" s="124">
        <f t="shared" si="52"/>
        <v>96.383272621936356</v>
      </c>
      <c r="AJ33" s="124">
        <f>AD33*('[1]Entrada de dades'!$B$19+'[1]Entrada de dades'!$B$20)</f>
        <v>8603.039920489171</v>
      </c>
      <c r="AK33" s="124">
        <f>AE33*('[1]Entrada de dades'!$B$19+'[1]Entrada de dades'!$B$20)</f>
        <v>1029.2403067981436</v>
      </c>
      <c r="AL33" s="124">
        <f>AF33*('[1]Entrada de dades'!$B$19+'[1]Entrada de dades'!$B$20)</f>
        <v>8354.0033446989146</v>
      </c>
      <c r="AM33" s="124">
        <f>AG33*('[1]Entrada de dades'!$B$19+'[1]Entrada de dades'!$B$20)</f>
        <v>385.89338589898392</v>
      </c>
      <c r="AN33" s="124">
        <f>AH33*('[1]Entrada de dades'!$B$19+'[1]Entrada de dades'!$B$20)</f>
        <v>209.08824623414915</v>
      </c>
      <c r="AO33" s="124">
        <f>AI33*('[1]Entrada de dades'!$B$19+'[1]Entrada de dades'!$B$20)</f>
        <v>57.82996357316182</v>
      </c>
      <c r="AP33" s="124">
        <f t="shared" si="51"/>
        <v>5735.3599469927776</v>
      </c>
      <c r="AQ33" s="124">
        <f t="shared" si="51"/>
        <v>686.16020453209535</v>
      </c>
      <c r="AR33" s="124">
        <f t="shared" si="51"/>
        <v>5569.3355631326067</v>
      </c>
      <c r="AS33" s="124">
        <f t="shared" si="51"/>
        <v>257.26225726598915</v>
      </c>
      <c r="AT33" s="124">
        <f t="shared" si="51"/>
        <v>139.3921641560994</v>
      </c>
      <c r="AU33" s="124">
        <f t="shared" si="51"/>
        <v>38.553309048774537</v>
      </c>
      <c r="AV33" s="92">
        <f t="shared" si="30"/>
        <v>11009.883722244689</v>
      </c>
      <c r="AW33" s="92">
        <f t="shared" si="47"/>
        <v>240.67069173963247</v>
      </c>
      <c r="AX33" s="92">
        <f t="shared" si="31"/>
        <v>18606.593182869736</v>
      </c>
      <c r="AY33" s="92">
        <f t="shared" si="32"/>
        <v>7278.0650260706052</v>
      </c>
      <c r="AZ33" s="92">
        <f t="shared" si="33"/>
        <v>4694.0102191320238</v>
      </c>
      <c r="BA33" s="92">
        <f t="shared" si="34"/>
        <v>1298.2768992211254</v>
      </c>
      <c r="BB33" s="92">
        <f t="shared" si="35"/>
        <v>1213.3153967863225</v>
      </c>
      <c r="BC33" s="92">
        <f t="shared" si="36"/>
        <v>145.48311736591756</v>
      </c>
      <c r="BD33" s="92">
        <f t="shared" si="37"/>
        <v>1500.1005339297683</v>
      </c>
      <c r="BE33" s="92">
        <f t="shared" si="38"/>
        <v>315.53215853673578</v>
      </c>
      <c r="BF33" s="92">
        <f t="shared" si="39"/>
        <v>193.89450034113429</v>
      </c>
      <c r="BG33" s="92">
        <f t="shared" si="40"/>
        <v>53.627652886845382</v>
      </c>
      <c r="BH33" s="92">
        <f t="shared" si="41"/>
        <v>2381406.6200866159</v>
      </c>
      <c r="BI33" s="92">
        <f t="shared" si="42"/>
        <v>135704.33951903868</v>
      </c>
      <c r="BJ33" s="92">
        <f t="shared" si="43"/>
        <v>2554920.7155156233</v>
      </c>
      <c r="BK33" s="92">
        <f t="shared" si="44"/>
        <v>455436.24915775598</v>
      </c>
      <c r="BL33" s="92">
        <f t="shared" si="45"/>
        <v>278531.56850093458</v>
      </c>
      <c r="BM33" s="92">
        <f t="shared" si="46"/>
        <v>77036.709382250949</v>
      </c>
    </row>
    <row r="34" spans="1:65" ht="10.5" x14ac:dyDescent="0.25">
      <c r="A34" s="66">
        <v>45463</v>
      </c>
      <c r="B34" s="66" t="s">
        <v>564</v>
      </c>
      <c r="C34" s="66" t="s">
        <v>71</v>
      </c>
      <c r="D34" s="67" t="s">
        <v>271</v>
      </c>
      <c r="E34" s="143"/>
      <c r="F34" s="143"/>
      <c r="G34" s="143"/>
      <c r="H34" s="91"/>
      <c r="I34" s="91"/>
      <c r="K34" s="91">
        <v>49864.002494930115</v>
      </c>
      <c r="L34" s="96">
        <v>21372.281309280126</v>
      </c>
      <c r="M34" s="100">
        <v>3789.1582926726583</v>
      </c>
      <c r="N34" s="104">
        <v>22205.291737971918</v>
      </c>
      <c r="O34" s="108">
        <v>981.57444913223446</v>
      </c>
      <c r="P34" s="112">
        <v>1187.3088999161275</v>
      </c>
      <c r="Q34" s="116">
        <v>328.3878059570539</v>
      </c>
      <c r="R34" s="124">
        <f>L34*'Entrada de dades'!$B$8*'Entrada de dades'!$B$11</f>
        <v>1997.8808567915062</v>
      </c>
      <c r="S34" s="124">
        <f>M34*'Entrada de dades'!$B$8*'Entrada de dades'!$B$13</f>
        <v>239.0201051017913</v>
      </c>
      <c r="T34" s="124">
        <f>N34*'Entrada de dades'!$B$8*'Entrada de dades'!$B$12</f>
        <v>5366.5749072330536</v>
      </c>
      <c r="U34" s="124">
        <f>O34*'Entrada de dades'!$B$8*'Entrada de dades'!$B$14</f>
        <v>209.62503935668002</v>
      </c>
      <c r="V34" s="124">
        <f>P34*'Entrada de dades'!$B$8*'Entrada de dades'!$B$15</f>
        <v>145.27911699373738</v>
      </c>
      <c r="W34" s="124">
        <f>Q34*'Entrada de dades'!$B$8*'Entrada de dades'!$B$15</f>
        <v>40.181531936905117</v>
      </c>
      <c r="X34" s="124">
        <f>L34*(1-'Entrada de dades'!$B$8)*'Entrada de dades'!$B$11*('Entrada de dades'!$B$8/(1*(1/'Entrada de dades'!$B$8)))</f>
        <v>364.41346827877072</v>
      </c>
      <c r="Y34" s="124">
        <f>M34*(1-'Entrada de dades'!$B$8)*'Entrada de dades'!$B$13*('Entrada de dades'!$B$8/(1*(1/'Entrada de dades'!$B$8)))</f>
        <v>43.597267170566731</v>
      </c>
      <c r="Z34" s="124">
        <f>N34*(1-'Entrada de dades'!$B$8)*'Entrada de dades'!$B$12*('Entrada de dades'!$B$8/(1*(1/'Entrada de dades'!$B$8)))</f>
        <v>978.86326307930892</v>
      </c>
      <c r="AA34" s="124">
        <f>O34*(1-'Entrada de dades'!$B$8)*'Entrada de dades'!$B$14*('Entrada de dades'!$B$8/(1*(1/'Entrada de dades'!$B$8)))</f>
        <v>38.235607178658434</v>
      </c>
      <c r="AB34" s="124">
        <f>P34*(1-'Entrada de dades'!$B$8)*'Entrada de dades'!$B$15*('Entrada de dades'!$B$8/(1*(1/'Entrada de dades'!$B$8)))</f>
        <v>26.498910939657694</v>
      </c>
      <c r="AC34" s="124">
        <f>Q34*(1-'Entrada de dades'!$B$8)*'Entrada de dades'!$B$15*('Entrada de dades'!$B$8/(1*(1/'Entrada de dades'!$B$8)))</f>
        <v>7.3291114252914928</v>
      </c>
      <c r="AD34" s="124">
        <f t="shared" si="52"/>
        <v>2362.294325070277</v>
      </c>
      <c r="AE34" s="124">
        <f t="shared" si="52"/>
        <v>282.61737227235801</v>
      </c>
      <c r="AF34" s="124">
        <f t="shared" si="52"/>
        <v>6345.4381703123627</v>
      </c>
      <c r="AG34" s="124">
        <f t="shared" si="52"/>
        <v>247.86064653533845</v>
      </c>
      <c r="AH34" s="124">
        <f t="shared" si="52"/>
        <v>171.77802793339507</v>
      </c>
      <c r="AI34" s="124">
        <f t="shared" si="52"/>
        <v>47.51064336219661</v>
      </c>
      <c r="AJ34" s="124">
        <f>AD34*('[1]Entrada de dades'!$B$19+'[1]Entrada de dades'!$B$20)</f>
        <v>1417.3765950421664</v>
      </c>
      <c r="AK34" s="124">
        <f>AE34*('[1]Entrada de dades'!$B$19+'[1]Entrada de dades'!$B$20)</f>
        <v>169.57042336341482</v>
      </c>
      <c r="AL34" s="124">
        <f>AF34*('[1]Entrada de dades'!$B$19+'[1]Entrada de dades'!$B$20)</f>
        <v>3807.2629021874181</v>
      </c>
      <c r="AM34" s="124">
        <f>AG34*('[1]Entrada de dades'!$B$19+'[1]Entrada de dades'!$B$20)</f>
        <v>148.71638792120308</v>
      </c>
      <c r="AN34" s="124">
        <f>AH34*('[1]Entrada de dades'!$B$19+'[1]Entrada de dades'!$B$20)</f>
        <v>103.06681676003706</v>
      </c>
      <c r="AO34" s="124">
        <f>AI34*('[1]Entrada de dades'!$B$19+'[1]Entrada de dades'!$B$20)</f>
        <v>28.506386017317972</v>
      </c>
      <c r="AP34" s="124">
        <f t="shared" si="51"/>
        <v>944.91773002811055</v>
      </c>
      <c r="AQ34" s="124">
        <f t="shared" si="51"/>
        <v>113.04694890894319</v>
      </c>
      <c r="AR34" s="124">
        <f t="shared" si="51"/>
        <v>2538.1752681249445</v>
      </c>
      <c r="AS34" s="124">
        <f t="shared" si="51"/>
        <v>99.144258614135367</v>
      </c>
      <c r="AT34" s="124">
        <f t="shared" si="51"/>
        <v>68.711211173358009</v>
      </c>
      <c r="AU34" s="124">
        <f t="shared" si="51"/>
        <v>19.004257344878638</v>
      </c>
      <c r="AV34" s="92">
        <f t="shared" si="30"/>
        <v>1813.9113204484629</v>
      </c>
      <c r="AW34" s="92">
        <f t="shared" si="47"/>
        <v>39.651217329811821</v>
      </c>
      <c r="AX34" s="92">
        <f t="shared" si="31"/>
        <v>8479.7897532786301</v>
      </c>
      <c r="AY34" s="92">
        <f t="shared" si="32"/>
        <v>2804.8356911102665</v>
      </c>
      <c r="AZ34" s="92">
        <f t="shared" si="33"/>
        <v>2313.8397295811556</v>
      </c>
      <c r="BA34" s="92">
        <f t="shared" si="34"/>
        <v>639.96551545018656</v>
      </c>
      <c r="BB34" s="92">
        <f t="shared" si="35"/>
        <v>199.89734578744685</v>
      </c>
      <c r="BC34" s="92">
        <f t="shared" si="36"/>
        <v>23.968779342418685</v>
      </c>
      <c r="BD34" s="92">
        <f t="shared" si="37"/>
        <v>683.657508469454</v>
      </c>
      <c r="BE34" s="92">
        <f t="shared" si="38"/>
        <v>121.60043319023704</v>
      </c>
      <c r="BF34" s="92">
        <f t="shared" si="39"/>
        <v>95.577294742141021</v>
      </c>
      <c r="BG34" s="92">
        <f t="shared" si="40"/>
        <v>26.434921966726193</v>
      </c>
      <c r="BH34" s="92">
        <f t="shared" si="41"/>
        <v>392343.8735359626</v>
      </c>
      <c r="BI34" s="92">
        <f t="shared" si="42"/>
        <v>22357.696402390327</v>
      </c>
      <c r="BJ34" s="92">
        <f t="shared" si="43"/>
        <v>1164382.4471754921</v>
      </c>
      <c r="BK34" s="92">
        <f t="shared" si="44"/>
        <v>175516.95980830461</v>
      </c>
      <c r="BL34" s="92">
        <f t="shared" si="45"/>
        <v>137297.82830749542</v>
      </c>
      <c r="BM34" s="92">
        <f t="shared" si="46"/>
        <v>37974.054269913824</v>
      </c>
    </row>
    <row r="35" spans="1:65" ht="10.5" x14ac:dyDescent="0.25">
      <c r="A35" s="66">
        <v>34130</v>
      </c>
      <c r="B35" s="66" t="s">
        <v>565</v>
      </c>
      <c r="C35" s="66" t="s">
        <v>71</v>
      </c>
      <c r="D35" s="67" t="s">
        <v>275</v>
      </c>
      <c r="E35" s="143"/>
      <c r="F35" s="143"/>
      <c r="G35" s="143"/>
      <c r="H35" s="91"/>
      <c r="I35" s="91"/>
      <c r="K35" s="91">
        <v>51182.341777438232</v>
      </c>
      <c r="L35" s="96">
        <v>26034.201836109594</v>
      </c>
      <c r="M35" s="100">
        <v>4615.6846970554461</v>
      </c>
      <c r="N35" s="104">
        <v>17627.929721440829</v>
      </c>
      <c r="O35" s="108">
        <v>1751.6026807790734</v>
      </c>
      <c r="P35" s="112">
        <v>903.1328932643338</v>
      </c>
      <c r="Q35" s="116">
        <v>249.78994878895563</v>
      </c>
      <c r="R35" s="124">
        <f>L35*'Entrada de dades'!$B$8*'Entrada de dades'!$B$11</f>
        <v>2433.6771876395251</v>
      </c>
      <c r="S35" s="124">
        <f>M35*'Entrada de dades'!$B$8*'Entrada de dades'!$B$13</f>
        <v>291.15739069025756</v>
      </c>
      <c r="T35" s="124">
        <f>N35*'Entrada de dades'!$B$8*'Entrada de dades'!$B$12</f>
        <v>4260.3180550778197</v>
      </c>
      <c r="U35" s="124">
        <f>O35*'Entrada de dades'!$B$8*'Entrada de dades'!$B$14</f>
        <v>374.07226850717893</v>
      </c>
      <c r="V35" s="124">
        <f>P35*'Entrada de dades'!$B$8*'Entrada de dades'!$B$15</f>
        <v>110.50734081982388</v>
      </c>
      <c r="W35" s="124">
        <f>Q35*'Entrada de dades'!$B$8*'Entrada de dades'!$B$15</f>
        <v>30.564298133816614</v>
      </c>
      <c r="X35" s="124">
        <f>L35*(1-'Entrada de dades'!$B$8)*'Entrada de dades'!$B$11*('Entrada de dades'!$B$8/(1*(1/'Entrada de dades'!$B$8)))</f>
        <v>443.90271902544936</v>
      </c>
      <c r="Y35" s="124">
        <f>M35*(1-'Entrada de dades'!$B$8)*'Entrada de dades'!$B$13*('Entrada de dades'!$B$8/(1*(1/'Entrada de dades'!$B$8)))</f>
        <v>53.107108061902977</v>
      </c>
      <c r="Z35" s="124">
        <f>N35*(1-'Entrada de dades'!$B$8)*'Entrada de dades'!$B$12*('Entrada de dades'!$B$8/(1*(1/'Entrada de dades'!$B$8)))</f>
        <v>777.08201324619426</v>
      </c>
      <c r="AA35" s="124">
        <f>O35*(1-'Entrada de dades'!$B$8)*'Entrada de dades'!$B$14*('Entrada de dades'!$B$8/(1*(1/'Entrada de dades'!$B$8)))</f>
        <v>68.230781775709445</v>
      </c>
      <c r="AB35" s="124">
        <f>P35*(1-'Entrada de dades'!$B$8)*'Entrada de dades'!$B$15*('Entrada de dades'!$B$8/(1*(1/'Entrada de dades'!$B$8)))</f>
        <v>20.156538965535876</v>
      </c>
      <c r="AC35" s="124">
        <f>Q35*(1-'Entrada de dades'!$B$8)*'Entrada de dades'!$B$15*('Entrada de dades'!$B$8/(1*(1/'Entrada de dades'!$B$8)))</f>
        <v>5.5749279796081499</v>
      </c>
      <c r="AD35" s="124">
        <f t="shared" si="52"/>
        <v>2877.5799066649743</v>
      </c>
      <c r="AE35" s="124">
        <f t="shared" si="52"/>
        <v>344.26449875216053</v>
      </c>
      <c r="AF35" s="124">
        <f t="shared" si="52"/>
        <v>5037.4000683240138</v>
      </c>
      <c r="AG35" s="124">
        <f t="shared" si="52"/>
        <v>442.30305028288836</v>
      </c>
      <c r="AH35" s="124">
        <f t="shared" si="52"/>
        <v>130.66387978535977</v>
      </c>
      <c r="AI35" s="124">
        <f t="shared" si="52"/>
        <v>36.139226113424762</v>
      </c>
      <c r="AJ35" s="124">
        <f>AD35*('[1]Entrada de dades'!$B$19+'[1]Entrada de dades'!$B$20)</f>
        <v>1726.5479439989849</v>
      </c>
      <c r="AK35" s="124">
        <f>AE35*('[1]Entrada de dades'!$B$19+'[1]Entrada de dades'!$B$20)</f>
        <v>206.55869925129636</v>
      </c>
      <c r="AL35" s="124">
        <f>AF35*('[1]Entrada de dades'!$B$19+'[1]Entrada de dades'!$B$20)</f>
        <v>3022.4400409944087</v>
      </c>
      <c r="AM35" s="124">
        <f>AG35*('[1]Entrada de dades'!$B$19+'[1]Entrada de dades'!$B$20)</f>
        <v>265.38183016973306</v>
      </c>
      <c r="AN35" s="124">
        <f>AH35*('[1]Entrada de dades'!$B$19+'[1]Entrada de dades'!$B$20)</f>
        <v>78.398327871215869</v>
      </c>
      <c r="AO35" s="124">
        <f>AI35*('[1]Entrada de dades'!$B$19+'[1]Entrada de dades'!$B$20)</f>
        <v>21.683535668054862</v>
      </c>
      <c r="AP35" s="124">
        <f t="shared" si="51"/>
        <v>1151.0319626659893</v>
      </c>
      <c r="AQ35" s="124">
        <f t="shared" si="51"/>
        <v>137.70579950086417</v>
      </c>
      <c r="AR35" s="124">
        <f t="shared" si="51"/>
        <v>2014.9600273296051</v>
      </c>
      <c r="AS35" s="124">
        <f t="shared" si="51"/>
        <v>176.9212201131553</v>
      </c>
      <c r="AT35" s="124">
        <f t="shared" si="51"/>
        <v>52.265551914143899</v>
      </c>
      <c r="AU35" s="124">
        <f t="shared" si="51"/>
        <v>14.4556904453699</v>
      </c>
      <c r="AV35" s="92">
        <f t="shared" si="30"/>
        <v>2209.5785071317673</v>
      </c>
      <c r="AW35" s="92">
        <f t="shared" si="47"/>
        <v>48.300309174928117</v>
      </c>
      <c r="AX35" s="92">
        <f t="shared" si="31"/>
        <v>6731.7799553054792</v>
      </c>
      <c r="AY35" s="92">
        <f t="shared" si="32"/>
        <v>5005.180931550216</v>
      </c>
      <c r="AZ35" s="92">
        <f t="shared" si="33"/>
        <v>1760.0346208760091</v>
      </c>
      <c r="BA35" s="92">
        <f t="shared" si="34"/>
        <v>486.79320739426475</v>
      </c>
      <c r="BB35" s="92">
        <f t="shared" si="35"/>
        <v>243.50081170199013</v>
      </c>
      <c r="BC35" s="92">
        <f t="shared" si="36"/>
        <v>29.197072139170736</v>
      </c>
      <c r="BD35" s="92">
        <f t="shared" si="37"/>
        <v>542.72948336122931</v>
      </c>
      <c r="BE35" s="92">
        <f t="shared" si="38"/>
        <v>216.993876468785</v>
      </c>
      <c r="BF35" s="92">
        <f t="shared" si="39"/>
        <v>72.701382712574173</v>
      </c>
      <c r="BG35" s="92">
        <f t="shared" si="40"/>
        <v>20.107865409509536</v>
      </c>
      <c r="BH35" s="92">
        <f t="shared" si="41"/>
        <v>477925.56372356467</v>
      </c>
      <c r="BI35" s="92">
        <f t="shared" si="42"/>
        <v>27234.564822874152</v>
      </c>
      <c r="BJ35" s="92">
        <f t="shared" si="43"/>
        <v>924358.5803733978</v>
      </c>
      <c r="BK35" s="92">
        <f t="shared" si="44"/>
        <v>313206.98862344009</v>
      </c>
      <c r="BL35" s="92">
        <f t="shared" si="45"/>
        <v>104436.33070300191</v>
      </c>
      <c r="BM35" s="92">
        <f t="shared" si="46"/>
        <v>28885.168387255228</v>
      </c>
    </row>
    <row r="36" spans="1:65" ht="10.5" x14ac:dyDescent="0.25">
      <c r="A36" s="66">
        <v>20936</v>
      </c>
      <c r="B36" s="66" t="s">
        <v>566</v>
      </c>
      <c r="C36" s="66" t="s">
        <v>71</v>
      </c>
      <c r="D36" s="67" t="s">
        <v>277</v>
      </c>
      <c r="E36" s="143"/>
      <c r="F36" s="143"/>
      <c r="G36" s="143"/>
      <c r="H36" s="91"/>
      <c r="I36" s="91"/>
      <c r="K36" s="91">
        <v>20830.628962981449</v>
      </c>
      <c r="L36" s="96">
        <v>6486.654738551244</v>
      </c>
      <c r="M36" s="100">
        <v>1150.0392138116454</v>
      </c>
      <c r="N36" s="104">
        <v>12369.049360226225</v>
      </c>
      <c r="O36" s="108">
        <v>617.71495505735436</v>
      </c>
      <c r="P36" s="112">
        <v>54.637999999999998</v>
      </c>
      <c r="Q36" s="116">
        <v>152.53269533497843</v>
      </c>
      <c r="R36" s="124">
        <f>L36*'Entrada de dades'!$B$8*'Entrada de dades'!$B$11</f>
        <v>606.37248495977019</v>
      </c>
      <c r="S36" s="124">
        <f>M36*'Entrada de dades'!$B$8*'Entrada de dades'!$B$13</f>
        <v>72.544473607238601</v>
      </c>
      <c r="T36" s="124">
        <f>N36*'Entrada de dades'!$B$8*'Entrada de dades'!$B$12</f>
        <v>2989.3518493794745</v>
      </c>
      <c r="U36" s="124">
        <f>O36*'Entrada de dades'!$B$8*'Entrada de dades'!$B$14</f>
        <v>131.91920580204862</v>
      </c>
      <c r="V36" s="124">
        <f>P36*'Entrada de dades'!$B$8*'Entrada de dades'!$B$15</f>
        <v>6.6855056799999995</v>
      </c>
      <c r="W36" s="124">
        <f>Q36*'Entrada de dades'!$B$8*'Entrada de dades'!$B$15</f>
        <v>18.663900601187962</v>
      </c>
      <c r="X36" s="124">
        <f>L36*(1-'Entrada de dades'!$B$8)*'Entrada de dades'!$B$11*('Entrada de dades'!$B$8/(1*(1/'Entrada de dades'!$B$8)))</f>
        <v>110.60234125666209</v>
      </c>
      <c r="Y36" s="124">
        <f>M36*(1-'Entrada de dades'!$B$8)*'Entrada de dades'!$B$13*('Entrada de dades'!$B$8/(1*(1/'Entrada de dades'!$B$8)))</f>
        <v>13.232111985960318</v>
      </c>
      <c r="Z36" s="124">
        <f>N36*(1-'Entrada de dades'!$B$8)*'Entrada de dades'!$B$12*('Entrada de dades'!$B$8/(1*(1/'Entrada de dades'!$B$8)))</f>
        <v>545.25777732681604</v>
      </c>
      <c r="AA36" s="124">
        <f>O36*(1-'Entrada de dades'!$B$8)*'Entrada de dades'!$B$14*('Entrada de dades'!$B$8/(1*(1/'Entrada de dades'!$B$8)))</f>
        <v>24.062063138293666</v>
      </c>
      <c r="AB36" s="124">
        <f>P36*(1-'Entrada de dades'!$B$8)*'Entrada de dades'!$B$15*('Entrada de dades'!$B$8/(1*(1/'Entrada de dades'!$B$8)))</f>
        <v>1.2194362360319999</v>
      </c>
      <c r="AC36" s="124">
        <f>Q36*(1-'Entrada de dades'!$B$8)*'Entrada de dades'!$B$15*('Entrada de dades'!$B$8/(1*(1/'Entrada de dades'!$B$8)))</f>
        <v>3.4042954696566841</v>
      </c>
      <c r="AD36" s="124">
        <f t="shared" ref="AD36:AI45" si="53">R36+X36</f>
        <v>716.97482621643223</v>
      </c>
      <c r="AE36" s="124">
        <f t="shared" si="53"/>
        <v>85.776585593198917</v>
      </c>
      <c r="AF36" s="124">
        <f t="shared" si="53"/>
        <v>3534.6096267062903</v>
      </c>
      <c r="AG36" s="124">
        <f t="shared" si="53"/>
        <v>155.98126894034229</v>
      </c>
      <c r="AH36" s="124">
        <f t="shared" si="53"/>
        <v>7.9049419160319996</v>
      </c>
      <c r="AI36" s="124">
        <f t="shared" si="53"/>
        <v>22.068196070844646</v>
      </c>
      <c r="AJ36" s="124">
        <f>AD36*('[1]Entrada de dades'!$B$19+'[1]Entrada de dades'!$B$20)</f>
        <v>430.18489572985942</v>
      </c>
      <c r="AK36" s="124">
        <f>AE36*('[1]Entrada de dades'!$B$19+'[1]Entrada de dades'!$B$20)</f>
        <v>51.465951355919358</v>
      </c>
      <c r="AL36" s="124">
        <f>AF36*('[1]Entrada de dades'!$B$19+'[1]Entrada de dades'!$B$20)</f>
        <v>2120.7657760237744</v>
      </c>
      <c r="AM36" s="124">
        <f>AG36*('[1]Entrada de dades'!$B$19+'[1]Entrada de dades'!$B$20)</f>
        <v>93.588761364205382</v>
      </c>
      <c r="AN36" s="124">
        <f>AH36*('[1]Entrada de dades'!$B$19+'[1]Entrada de dades'!$B$20)</f>
        <v>4.7429651496192005</v>
      </c>
      <c r="AO36" s="124">
        <f>AI36*('[1]Entrada de dades'!$B$19+'[1]Entrada de dades'!$B$20)</f>
        <v>13.24091764250679</v>
      </c>
      <c r="AP36" s="124">
        <f t="shared" si="51"/>
        <v>286.78993048657281</v>
      </c>
      <c r="AQ36" s="124">
        <f t="shared" si="51"/>
        <v>34.310634237279558</v>
      </c>
      <c r="AR36" s="124">
        <f t="shared" si="51"/>
        <v>1413.8438506825159</v>
      </c>
      <c r="AS36" s="124">
        <f t="shared" si="51"/>
        <v>62.392507576136907</v>
      </c>
      <c r="AT36" s="124">
        <f t="shared" si="51"/>
        <v>3.1619767664127991</v>
      </c>
      <c r="AU36" s="124">
        <f t="shared" si="51"/>
        <v>8.8272784283378556</v>
      </c>
      <c r="AV36" s="92">
        <f t="shared" si="30"/>
        <v>550.53629005854964</v>
      </c>
      <c r="AW36" s="92">
        <f t="shared" si="47"/>
        <v>12.034454958725807</v>
      </c>
      <c r="AX36" s="92">
        <f t="shared" si="31"/>
        <v>4723.5109207452188</v>
      </c>
      <c r="AY36" s="92">
        <f t="shared" si="32"/>
        <v>1765.1121159573227</v>
      </c>
      <c r="AZ36" s="92">
        <f t="shared" si="33"/>
        <v>106.47909331243608</v>
      </c>
      <c r="BA36" s="92">
        <f t="shared" si="34"/>
        <v>297.25727698251313</v>
      </c>
      <c r="BB36" s="92">
        <f t="shared" si="35"/>
        <v>60.670409794434498</v>
      </c>
      <c r="BC36" s="92">
        <f t="shared" si="36"/>
        <v>7.2747122241591997</v>
      </c>
      <c r="BD36" s="92">
        <f t="shared" si="37"/>
        <v>380.81884118133576</v>
      </c>
      <c r="BE36" s="92">
        <f t="shared" si="38"/>
        <v>76.524410542131932</v>
      </c>
      <c r="BF36" s="92">
        <f t="shared" si="39"/>
        <v>4.3983096820802041</v>
      </c>
      <c r="BG36" s="92">
        <f t="shared" si="40"/>
        <v>12.27874429381796</v>
      </c>
      <c r="BH36" s="92">
        <f t="shared" si="41"/>
        <v>119079.43796849283</v>
      </c>
      <c r="BI36" s="92">
        <f t="shared" si="42"/>
        <v>6785.7359358583235</v>
      </c>
      <c r="BJ36" s="92">
        <f t="shared" si="43"/>
        <v>648597.82673632528</v>
      </c>
      <c r="BK36" s="92">
        <f t="shared" si="44"/>
        <v>110454.63850005376</v>
      </c>
      <c r="BL36" s="92">
        <f t="shared" si="45"/>
        <v>6318.2199203550645</v>
      </c>
      <c r="BM36" s="92">
        <f t="shared" si="46"/>
        <v>17638.550352701615</v>
      </c>
    </row>
    <row r="37" spans="1:65" ht="10.5" x14ac:dyDescent="0.25">
      <c r="A37" s="66">
        <v>31525</v>
      </c>
      <c r="B37" s="66" t="s">
        <v>567</v>
      </c>
      <c r="C37" s="66" t="s">
        <v>71</v>
      </c>
      <c r="D37" s="67" t="s">
        <v>289</v>
      </c>
      <c r="E37" s="143"/>
      <c r="F37" s="143"/>
      <c r="G37" s="143"/>
      <c r="H37" s="91"/>
      <c r="I37" s="91"/>
      <c r="K37" s="91">
        <v>24450.101670972028</v>
      </c>
      <c r="L37" s="96">
        <v>20629.825101435981</v>
      </c>
      <c r="M37" s="100">
        <v>3657.525920059381</v>
      </c>
      <c r="N37" s="104">
        <v>162.75064947666084</v>
      </c>
      <c r="O37" s="108">
        <v>0</v>
      </c>
      <c r="P37" s="112">
        <v>0</v>
      </c>
      <c r="Q37" s="116">
        <v>0</v>
      </c>
      <c r="R37" s="124">
        <f>L37*'Entrada de dades'!$B$8*'Entrada de dades'!$B$11</f>
        <v>1928.4760504822355</v>
      </c>
      <c r="S37" s="124">
        <f>M37*'Entrada de dades'!$B$8*'Entrada de dades'!$B$13</f>
        <v>230.71673503734576</v>
      </c>
      <c r="T37" s="124">
        <f>N37*'Entrada de dades'!$B$8*'Entrada de dades'!$B$12</f>
        <v>39.333576965519391</v>
      </c>
      <c r="U37" s="124">
        <f>O37*'Entrada de dades'!$B$8*'Entrada de dades'!$B$14</f>
        <v>0</v>
      </c>
      <c r="V37" s="124">
        <f>P37*'Entrada de dades'!$B$8*'Entrada de dades'!$B$15</f>
        <v>0</v>
      </c>
      <c r="W37" s="124">
        <f>Q37*'Entrada de dades'!$B$8*'Entrada de dades'!$B$15</f>
        <v>0</v>
      </c>
      <c r="X37" s="124">
        <f>L37*(1-'Entrada de dades'!$B$8)*'Entrada de dades'!$B$11*('Entrada de dades'!$B$8/(1*(1/'Entrada de dades'!$B$8)))</f>
        <v>351.75403160795975</v>
      </c>
      <c r="Y37" s="124">
        <f>M37*(1-'Entrada de dades'!$B$8)*'Entrada de dades'!$B$13*('Entrada de dades'!$B$8/(1*(1/'Entrada de dades'!$B$8)))</f>
        <v>42.08273247081187</v>
      </c>
      <c r="Z37" s="124">
        <f>N37*(1-'Entrada de dades'!$B$8)*'Entrada de dades'!$B$12*('Entrada de dades'!$B$8/(1*(1/'Entrada de dades'!$B$8)))</f>
        <v>7.1744444385107373</v>
      </c>
      <c r="AA37" s="124">
        <f>O37*(1-'Entrada de dades'!$B$8)*'Entrada de dades'!$B$14*('Entrada de dades'!$B$8/(1*(1/'Entrada de dades'!$B$8)))</f>
        <v>0</v>
      </c>
      <c r="AB37" s="124">
        <f>P37*(1-'Entrada de dades'!$B$8)*'Entrada de dades'!$B$15*('Entrada de dades'!$B$8/(1*(1/'Entrada de dades'!$B$8)))</f>
        <v>0</v>
      </c>
      <c r="AC37" s="124">
        <f>Q37*(1-'Entrada de dades'!$B$8)*'Entrada de dades'!$B$15*('Entrada de dades'!$B$8/(1*(1/'Entrada de dades'!$B$8)))</f>
        <v>0</v>
      </c>
      <c r="AD37" s="124">
        <f t="shared" si="53"/>
        <v>2280.2300820901951</v>
      </c>
      <c r="AE37" s="124">
        <f t="shared" si="53"/>
        <v>272.79946750815765</v>
      </c>
      <c r="AF37" s="124">
        <f t="shared" si="53"/>
        <v>46.508021404030131</v>
      </c>
      <c r="AG37" s="124">
        <f t="shared" si="53"/>
        <v>0</v>
      </c>
      <c r="AH37" s="124">
        <f t="shared" si="53"/>
        <v>0</v>
      </c>
      <c r="AI37" s="124">
        <f t="shared" si="53"/>
        <v>0</v>
      </c>
      <c r="AJ37" s="124">
        <f>AD37*('[1]Entrada de dades'!$B$19+'[1]Entrada de dades'!$B$20)</f>
        <v>1368.1380492541173</v>
      </c>
      <c r="AK37" s="124">
        <f>AE37*('[1]Entrada de dades'!$B$19+'[1]Entrada de dades'!$B$20)</f>
        <v>163.67968050489461</v>
      </c>
      <c r="AL37" s="124">
        <f>AF37*('[1]Entrada de dades'!$B$19+'[1]Entrada de dades'!$B$20)</f>
        <v>27.904812842418082</v>
      </c>
      <c r="AM37" s="124">
        <f>AG37*('[1]Entrada de dades'!$B$19+'[1]Entrada de dades'!$B$20)</f>
        <v>0</v>
      </c>
      <c r="AN37" s="124">
        <f>AH37*('[1]Entrada de dades'!$B$19+'[1]Entrada de dades'!$B$20)</f>
        <v>0</v>
      </c>
      <c r="AO37" s="124">
        <f>AI37*('[1]Entrada de dades'!$B$19+'[1]Entrada de dades'!$B$20)</f>
        <v>0</v>
      </c>
      <c r="AP37" s="124">
        <f t="shared" si="51"/>
        <v>912.09203283607781</v>
      </c>
      <c r="AQ37" s="124">
        <f t="shared" si="51"/>
        <v>109.11978700326304</v>
      </c>
      <c r="AR37" s="124">
        <f t="shared" si="51"/>
        <v>18.60320856161205</v>
      </c>
      <c r="AS37" s="124">
        <f t="shared" si="51"/>
        <v>0</v>
      </c>
      <c r="AT37" s="124">
        <f t="shared" si="51"/>
        <v>0</v>
      </c>
      <c r="AU37" s="124">
        <f t="shared" si="51"/>
        <v>0</v>
      </c>
      <c r="AV37" s="92">
        <f t="shared" ref="AV37:AV56" si="54">(AJ37*$BT$211)+(AP37*$BU$211)</f>
        <v>1750.8974708337773</v>
      </c>
      <c r="AW37" s="92">
        <f t="shared" si="47"/>
        <v>38.273765291394511</v>
      </c>
      <c r="AX37" s="92">
        <f t="shared" ref="AX37:AX56" si="55">(AL37*$BT$212)+(AR37*$BU$212)</f>
        <v>62.15145948348971</v>
      </c>
      <c r="AY37" s="92">
        <f t="shared" ref="AY37:AY56" si="56">(AM37*$BT$214)+(AS37*$BU$214)</f>
        <v>0</v>
      </c>
      <c r="AZ37" s="92">
        <f t="shared" ref="AZ37:AZ56" si="57">(AN37*$BT$215)+(AT37*$BU$215)</f>
        <v>0</v>
      </c>
      <c r="BA37" s="92">
        <f t="shared" ref="BA37:BA56" si="58">(AO37*$BT$215)+(AU37*$BU$215)</f>
        <v>0</v>
      </c>
      <c r="BB37" s="92">
        <f t="shared" ref="BB37:BB56" si="59">(AJ37*$BT$223)+(AP37*$BU$223)</f>
        <v>192.95306954647231</v>
      </c>
      <c r="BC37" s="92">
        <f t="shared" ref="BC37:BC56" si="60">(AK37*$BT$225)+(AQ37*$BU$225)</f>
        <v>23.136122839366852</v>
      </c>
      <c r="BD37" s="92">
        <f t="shared" ref="BD37:BD56" si="61">(AL37*$BT$224)+(AR37*$BU$224)</f>
        <v>5.0107742260702066</v>
      </c>
      <c r="BE37" s="92">
        <f t="shared" ref="BE37:BE56" si="62">(AM37*$BT$226)+(AS37*$BU$226)</f>
        <v>0</v>
      </c>
      <c r="BF37" s="92">
        <f t="shared" ref="BF37:BF56" si="63">(AN37*$BT$227)+(AT37*$BU$227)</f>
        <v>0</v>
      </c>
      <c r="BG37" s="92">
        <f t="shared" ref="BG37:BG56" si="64">(AO37*$BT$227)+(AU37*$BU$227)</f>
        <v>0</v>
      </c>
      <c r="BH37" s="92">
        <f t="shared" ref="BH37:BH56" si="65">(AJ37*$BT$234)+(AP37*$BU$234)</f>
        <v>378714.15660022729</v>
      </c>
      <c r="BI37" s="92">
        <f t="shared" ref="BI37:BI56" si="66">(AK37*$BT$236)+(AQ37*$BU$236)</f>
        <v>21581.007650879201</v>
      </c>
      <c r="BJ37" s="92">
        <f t="shared" ref="BJ37:BJ56" si="67">(AL37*$BT$235)+(AR37*$BU$235)</f>
        <v>8534.1819307411206</v>
      </c>
      <c r="BK37" s="92">
        <f t="shared" ref="BK37:BK56" si="68">(AM37*$BT$237)+(AS37*$BU$237)</f>
        <v>0</v>
      </c>
      <c r="BL37" s="92">
        <f t="shared" ref="BL37:BL56" si="69">(AN37*$BT$238)+(AT37*$BU$238)</f>
        <v>0</v>
      </c>
      <c r="BM37" s="92">
        <f t="shared" ref="BM37:BM56" si="70">(AO37*$BT$238)+(AU37*$BU$238)</f>
        <v>0</v>
      </c>
    </row>
    <row r="38" spans="1:65" ht="10.5" x14ac:dyDescent="0.25">
      <c r="A38" s="66">
        <v>20156</v>
      </c>
      <c r="B38" s="66" t="s">
        <v>568</v>
      </c>
      <c r="C38" s="66" t="s">
        <v>71</v>
      </c>
      <c r="D38" s="67" t="s">
        <v>299</v>
      </c>
      <c r="E38" s="143"/>
      <c r="F38" s="143"/>
      <c r="G38" s="143"/>
      <c r="H38" s="91"/>
      <c r="I38" s="91"/>
      <c r="K38" s="91">
        <v>31039.78281016562</v>
      </c>
      <c r="L38" s="96">
        <v>9498.8299615409651</v>
      </c>
      <c r="M38" s="100">
        <v>1684.0771370453565</v>
      </c>
      <c r="N38" s="104">
        <v>18655.293196262253</v>
      </c>
      <c r="O38" s="108">
        <v>1201.5825153170456</v>
      </c>
      <c r="P38" s="112">
        <v>0</v>
      </c>
      <c r="Q38" s="116">
        <v>0</v>
      </c>
      <c r="R38" s="124">
        <f>L38*'Entrada de dades'!$B$8*'Entrada de dades'!$B$11</f>
        <v>887.95062480484944</v>
      </c>
      <c r="S38" s="124">
        <f>M38*'Entrada de dades'!$B$8*'Entrada de dades'!$B$13</f>
        <v>106.23158580482109</v>
      </c>
      <c r="T38" s="124">
        <f>N38*'Entrada de dades'!$B$8*'Entrada de dades'!$B$12</f>
        <v>4508.6112596726616</v>
      </c>
      <c r="U38" s="124">
        <f>O38*'Entrada de dades'!$B$8*'Entrada de dades'!$B$14</f>
        <v>256.60996197110831</v>
      </c>
      <c r="V38" s="124">
        <f>P38*'Entrada de dades'!$B$8*'Entrada de dades'!$B$15</f>
        <v>0</v>
      </c>
      <c r="W38" s="124">
        <f>Q38*'Entrada de dades'!$B$8*'Entrada de dades'!$B$15</f>
        <v>0</v>
      </c>
      <c r="X38" s="124">
        <f>L38*(1-'Entrada de dades'!$B$8)*'Entrada de dades'!$B$11*('Entrada de dades'!$B$8/(1*(1/'Entrada de dades'!$B$8)))</f>
        <v>161.96219396440452</v>
      </c>
      <c r="Y38" s="124">
        <f>M38*(1-'Entrada de dades'!$B$8)*'Entrada de dades'!$B$13*('Entrada de dades'!$B$8/(1*(1/'Entrada de dades'!$B$8)))</f>
        <v>19.376641250799366</v>
      </c>
      <c r="Z38" s="124">
        <f>N38*(1-'Entrada de dades'!$B$8)*'Entrada de dades'!$B$12*('Entrada de dades'!$B$8/(1*(1/'Entrada de dades'!$B$8)))</f>
        <v>822.37069376429338</v>
      </c>
      <c r="AA38" s="124">
        <f>O38*(1-'Entrada de dades'!$B$8)*'Entrada de dades'!$B$14*('Entrada de dades'!$B$8/(1*(1/'Entrada de dades'!$B$8)))</f>
        <v>46.805657063530155</v>
      </c>
      <c r="AB38" s="124">
        <f>P38*(1-'Entrada de dades'!$B$8)*'Entrada de dades'!$B$15*('Entrada de dades'!$B$8/(1*(1/'Entrada de dades'!$B$8)))</f>
        <v>0</v>
      </c>
      <c r="AC38" s="124">
        <f>Q38*(1-'Entrada de dades'!$B$8)*'Entrada de dades'!$B$15*('Entrada de dades'!$B$8/(1*(1/'Entrada de dades'!$B$8)))</f>
        <v>0</v>
      </c>
      <c r="AD38" s="124">
        <f t="shared" si="53"/>
        <v>1049.912818769254</v>
      </c>
      <c r="AE38" s="124">
        <f t="shared" si="53"/>
        <v>125.60822705562046</v>
      </c>
      <c r="AF38" s="124">
        <f t="shared" si="53"/>
        <v>5330.9819534369553</v>
      </c>
      <c r="AG38" s="124">
        <f t="shared" si="53"/>
        <v>303.41561903463844</v>
      </c>
      <c r="AH38" s="124">
        <f t="shared" si="53"/>
        <v>0</v>
      </c>
      <c r="AI38" s="124">
        <f t="shared" si="53"/>
        <v>0</v>
      </c>
      <c r="AJ38" s="124">
        <f>AD38*('[1]Entrada de dades'!$B$19+'[1]Entrada de dades'!$B$20)</f>
        <v>629.94769126155256</v>
      </c>
      <c r="AK38" s="124">
        <f>AE38*('[1]Entrada de dades'!$B$19+'[1]Entrada de dades'!$B$20)</f>
        <v>75.364936233372291</v>
      </c>
      <c r="AL38" s="124">
        <f>AF38*('[1]Entrada de dades'!$B$19+'[1]Entrada de dades'!$B$20)</f>
        <v>3198.5891720621735</v>
      </c>
      <c r="AM38" s="124">
        <f>AG38*('[1]Entrada de dades'!$B$19+'[1]Entrada de dades'!$B$20)</f>
        <v>182.0493714207831</v>
      </c>
      <c r="AN38" s="124">
        <f>AH38*('[1]Entrada de dades'!$B$19+'[1]Entrada de dades'!$B$20)</f>
        <v>0</v>
      </c>
      <c r="AO38" s="124">
        <f>AI38*('[1]Entrada de dades'!$B$19+'[1]Entrada de dades'!$B$20)</f>
        <v>0</v>
      </c>
      <c r="AP38" s="124">
        <f t="shared" si="51"/>
        <v>419.96512750770148</v>
      </c>
      <c r="AQ38" s="124">
        <f t="shared" si="51"/>
        <v>50.24329082224817</v>
      </c>
      <c r="AR38" s="124">
        <f t="shared" si="51"/>
        <v>2132.3927813747819</v>
      </c>
      <c r="AS38" s="124">
        <f t="shared" si="51"/>
        <v>121.36624761385534</v>
      </c>
      <c r="AT38" s="124">
        <f t="shared" si="51"/>
        <v>0</v>
      </c>
      <c r="AU38" s="124">
        <f t="shared" si="51"/>
        <v>0</v>
      </c>
      <c r="AV38" s="92">
        <f t="shared" si="54"/>
        <v>806.18605702015952</v>
      </c>
      <c r="AW38" s="92">
        <f t="shared" ref="AW38:AW57" si="71">(AK38*$BT$213)+(AQ38*$BT$213)</f>
        <v>17.622834255903548</v>
      </c>
      <c r="AX38" s="92">
        <f t="shared" si="55"/>
        <v>7124.1110432950099</v>
      </c>
      <c r="AY38" s="92">
        <f t="shared" si="56"/>
        <v>3433.5057598073954</v>
      </c>
      <c r="AZ38" s="92">
        <f t="shared" si="57"/>
        <v>0</v>
      </c>
      <c r="BA38" s="92">
        <f t="shared" si="58"/>
        <v>0</v>
      </c>
      <c r="BB38" s="92">
        <f t="shared" si="59"/>
        <v>88.843622724254288</v>
      </c>
      <c r="BC38" s="92">
        <f t="shared" si="60"/>
        <v>10.652833736587173</v>
      </c>
      <c r="BD38" s="92">
        <f t="shared" si="61"/>
        <v>574.35999566329758</v>
      </c>
      <c r="BE38" s="92">
        <f t="shared" si="62"/>
        <v>148.8557026983936</v>
      </c>
      <c r="BF38" s="92">
        <f t="shared" si="63"/>
        <v>0</v>
      </c>
      <c r="BG38" s="92">
        <f t="shared" si="64"/>
        <v>0</v>
      </c>
      <c r="BH38" s="92">
        <f t="shared" si="65"/>
        <v>174375.75742334125</v>
      </c>
      <c r="BI38" s="92">
        <f t="shared" si="66"/>
        <v>9936.7939895984455</v>
      </c>
      <c r="BJ38" s="92">
        <f t="shared" si="67"/>
        <v>978230.60381120129</v>
      </c>
      <c r="BK38" s="92">
        <f t="shared" si="68"/>
        <v>214856.96804120048</v>
      </c>
      <c r="BL38" s="92">
        <f t="shared" si="69"/>
        <v>0</v>
      </c>
      <c r="BM38" s="92">
        <f t="shared" si="70"/>
        <v>0</v>
      </c>
    </row>
    <row r="39" spans="1:65" ht="10.5" x14ac:dyDescent="0.25">
      <c r="A39" s="66">
        <v>119289</v>
      </c>
      <c r="B39" s="66" t="s">
        <v>569</v>
      </c>
      <c r="C39" s="66" t="s">
        <v>71</v>
      </c>
      <c r="D39" s="67" t="s">
        <v>307</v>
      </c>
      <c r="E39" s="143"/>
      <c r="F39" s="143"/>
      <c r="G39" s="143"/>
      <c r="H39" s="91"/>
      <c r="I39" s="91"/>
      <c r="K39" s="91">
        <v>98678.354546012954</v>
      </c>
      <c r="L39" s="96">
        <v>42059.541264917832</v>
      </c>
      <c r="M39" s="100">
        <v>7456.8670168481558</v>
      </c>
      <c r="N39" s="104">
        <v>43881.643865144688</v>
      </c>
      <c r="O39" s="108">
        <v>1252.3536075135405</v>
      </c>
      <c r="P39" s="112">
        <v>3155.2614913843322</v>
      </c>
      <c r="Q39" s="116">
        <v>872.68730020441762</v>
      </c>
      <c r="R39" s="124">
        <f>L39*'Entrada de dades'!$B$8*'Entrada de dades'!$B$11</f>
        <v>3931.7259174445189</v>
      </c>
      <c r="S39" s="124">
        <f>M39*'Entrada de dades'!$B$8*'Entrada de dades'!$B$13</f>
        <v>470.37917142278172</v>
      </c>
      <c r="T39" s="124">
        <f>N39*'Entrada de dades'!$B$8*'Entrada de dades'!$B$12</f>
        <v>10605.315689328168</v>
      </c>
      <c r="U39" s="124">
        <f>O39*'Entrada de dades'!$B$8*'Entrada de dades'!$B$14</f>
        <v>267.45263642059172</v>
      </c>
      <c r="V39" s="124">
        <f>P39*'Entrada de dades'!$B$8*'Entrada de dades'!$B$15</f>
        <v>386.07779608578687</v>
      </c>
      <c r="W39" s="124">
        <f>Q39*'Entrada de dades'!$B$8*'Entrada de dades'!$B$15</f>
        <v>106.78201805301254</v>
      </c>
      <c r="X39" s="124">
        <f>L39*(1-'Entrada de dades'!$B$8)*'Entrada de dades'!$B$11*('Entrada de dades'!$B$8/(1*(1/'Entrada de dades'!$B$8)))</f>
        <v>717.14680734188028</v>
      </c>
      <c r="Y39" s="124">
        <f>M39*(1-'Entrada de dades'!$B$8)*'Entrada de dades'!$B$13*('Entrada de dades'!$B$8/(1*(1/'Entrada de dades'!$B$8)))</f>
        <v>85.797160867515373</v>
      </c>
      <c r="Z39" s="124">
        <f>N39*(1-'Entrada de dades'!$B$8)*'Entrada de dades'!$B$12*('Entrada de dades'!$B$8/(1*(1/'Entrada de dades'!$B$8)))</f>
        <v>1934.4095817334578</v>
      </c>
      <c r="AA39" s="124">
        <f>O39*(1-'Entrada de dades'!$B$8)*'Entrada de dades'!$B$14*('Entrada de dades'!$B$8/(1*(1/'Entrada de dades'!$B$8)))</f>
        <v>48.783360883115925</v>
      </c>
      <c r="AB39" s="124">
        <f>P39*(1-'Entrada de dades'!$B$8)*'Entrada de dades'!$B$15*('Entrada de dades'!$B$8/(1*(1/'Entrada de dades'!$B$8)))</f>
        <v>70.420590006047519</v>
      </c>
      <c r="AC39" s="124">
        <f>Q39*(1-'Entrada de dades'!$B$8)*'Entrada de dades'!$B$15*('Entrada de dades'!$B$8/(1*(1/'Entrada de dades'!$B$8)))</f>
        <v>19.477040092869487</v>
      </c>
      <c r="AD39" s="124">
        <f t="shared" si="53"/>
        <v>4648.872724786399</v>
      </c>
      <c r="AE39" s="124">
        <f t="shared" si="53"/>
        <v>556.17633229029707</v>
      </c>
      <c r="AF39" s="124">
        <f t="shared" si="53"/>
        <v>12539.725271061627</v>
      </c>
      <c r="AG39" s="124">
        <f t="shared" si="53"/>
        <v>316.23599730370762</v>
      </c>
      <c r="AH39" s="124">
        <f t="shared" si="53"/>
        <v>456.49838609183439</v>
      </c>
      <c r="AI39" s="124">
        <f t="shared" si="53"/>
        <v>126.25905814588202</v>
      </c>
      <c r="AJ39" s="124">
        <f>AD39*('[1]Entrada de dades'!$B$19+'[1]Entrada de dades'!$B$20)</f>
        <v>2789.3236348718397</v>
      </c>
      <c r="AK39" s="124">
        <f>AE39*('[1]Entrada de dades'!$B$19+'[1]Entrada de dades'!$B$20)</f>
        <v>333.7057993741783</v>
      </c>
      <c r="AL39" s="124">
        <f>AF39*('[1]Entrada de dades'!$B$19+'[1]Entrada de dades'!$B$20)</f>
        <v>7523.8351626369767</v>
      </c>
      <c r="AM39" s="124">
        <f>AG39*('[1]Entrada de dades'!$B$19+'[1]Entrada de dades'!$B$20)</f>
        <v>189.74159838222459</v>
      </c>
      <c r="AN39" s="124">
        <f>AH39*('[1]Entrada de dades'!$B$19+'[1]Entrada de dades'!$B$20)</f>
        <v>273.89903165510066</v>
      </c>
      <c r="AO39" s="124">
        <f>AI39*('[1]Entrada de dades'!$B$19+'[1]Entrada de dades'!$B$20)</f>
        <v>75.755434887529219</v>
      </c>
      <c r="AP39" s="124">
        <f t="shared" si="51"/>
        <v>1859.5490899145593</v>
      </c>
      <c r="AQ39" s="124">
        <f t="shared" si="51"/>
        <v>222.47053291611877</v>
      </c>
      <c r="AR39" s="124">
        <f t="shared" si="51"/>
        <v>5015.89010842465</v>
      </c>
      <c r="AS39" s="124">
        <f t="shared" si="51"/>
        <v>126.49439892148303</v>
      </c>
      <c r="AT39" s="124">
        <f t="shared" si="51"/>
        <v>182.59935443673373</v>
      </c>
      <c r="AU39" s="124">
        <f t="shared" si="51"/>
        <v>50.503623258352803</v>
      </c>
      <c r="AV39" s="92">
        <f t="shared" si="54"/>
        <v>3569.6834104544841</v>
      </c>
      <c r="AW39" s="92">
        <f t="shared" si="71"/>
        <v>78.03153942032867</v>
      </c>
      <c r="AX39" s="92">
        <f t="shared" si="55"/>
        <v>16757.587263235917</v>
      </c>
      <c r="AY39" s="92">
        <f t="shared" si="56"/>
        <v>3578.5834679682703</v>
      </c>
      <c r="AZ39" s="92">
        <f t="shared" si="57"/>
        <v>6149.0058707538437</v>
      </c>
      <c r="BA39" s="92">
        <f t="shared" si="58"/>
        <v>1700.7019376815419</v>
      </c>
      <c r="BB39" s="92">
        <f t="shared" si="59"/>
        <v>393.38760997142504</v>
      </c>
      <c r="BC39" s="92">
        <f t="shared" si="60"/>
        <v>47.169314741540092</v>
      </c>
      <c r="BD39" s="92">
        <f t="shared" si="61"/>
        <v>1351.0300007041797</v>
      </c>
      <c r="BE39" s="92">
        <f t="shared" si="62"/>
        <v>155.14538027719897</v>
      </c>
      <c r="BF39" s="92">
        <f t="shared" si="63"/>
        <v>253.99570202149664</v>
      </c>
      <c r="BG39" s="92">
        <f t="shared" si="64"/>
        <v>70.250539952368754</v>
      </c>
      <c r="BH39" s="92">
        <f t="shared" si="65"/>
        <v>772112.39643651049</v>
      </c>
      <c r="BI39" s="92">
        <f t="shared" si="66"/>
        <v>43998.787065212688</v>
      </c>
      <c r="BJ39" s="92">
        <f t="shared" si="67"/>
        <v>2301028.8030760749</v>
      </c>
      <c r="BK39" s="92">
        <f t="shared" si="68"/>
        <v>223935.43147956103</v>
      </c>
      <c r="BL39" s="92">
        <f t="shared" si="69"/>
        <v>364867.60146406741</v>
      </c>
      <c r="BM39" s="92">
        <f t="shared" si="70"/>
        <v>100915.66829665126</v>
      </c>
    </row>
    <row r="40" spans="1:65" ht="10.5" x14ac:dyDescent="0.25">
      <c r="A40" s="66">
        <v>33016</v>
      </c>
      <c r="B40" s="66" t="s">
        <v>570</v>
      </c>
      <c r="C40" s="66" t="s">
        <v>71</v>
      </c>
      <c r="D40" s="67" t="s">
        <v>315</v>
      </c>
      <c r="E40" s="143"/>
      <c r="F40" s="143"/>
      <c r="G40" s="143"/>
      <c r="H40" s="91"/>
      <c r="I40" s="91"/>
      <c r="K40" s="91">
        <v>84002.270479320578</v>
      </c>
      <c r="L40" s="96">
        <v>47982.813600256603</v>
      </c>
      <c r="M40" s="100">
        <v>8507.0224103887522</v>
      </c>
      <c r="N40" s="104">
        <v>24422.76933709142</v>
      </c>
      <c r="O40" s="108">
        <v>1971.6107469638846</v>
      </c>
      <c r="P40" s="112">
        <v>875.81896582979425</v>
      </c>
      <c r="Q40" s="116">
        <v>242.23541879012191</v>
      </c>
      <c r="R40" s="124">
        <f>L40*'Entrada de dades'!$B$8*'Entrada de dades'!$B$11</f>
        <v>4485.4334153519867</v>
      </c>
      <c r="S40" s="124">
        <f>M40*'Entrada de dades'!$B$8*'Entrada de dades'!$B$13</f>
        <v>536.62297364732251</v>
      </c>
      <c r="T40" s="124">
        <f>N40*'Entrada de dades'!$B$8*'Entrada de dades'!$B$12</f>
        <v>5902.4948933882542</v>
      </c>
      <c r="U40" s="124">
        <f>O40*'Entrada de dades'!$B$8*'Entrada de dades'!$B$14</f>
        <v>421.05719112160727</v>
      </c>
      <c r="V40" s="124">
        <f>P40*'Entrada de dades'!$B$8*'Entrada de dades'!$B$15</f>
        <v>107.16520865893364</v>
      </c>
      <c r="W40" s="124">
        <f>Q40*'Entrada de dades'!$B$8*'Entrada de dades'!$B$15</f>
        <v>29.639925843159318</v>
      </c>
      <c r="X40" s="124">
        <f>L40*(1-'Entrada de dades'!$B$8)*'Entrada de dades'!$B$11*('Entrada de dades'!$B$8/(1*(1/'Entrada de dades'!$B$8)))</f>
        <v>818.14305496020245</v>
      </c>
      <c r="Y40" s="124">
        <f>M40*(1-'Entrada de dades'!$B$8)*'Entrada de dades'!$B$13*('Entrada de dades'!$B$8/(1*(1/'Entrada de dades'!$B$8)))</f>
        <v>97.880030393271625</v>
      </c>
      <c r="Z40" s="124">
        <f>N40*(1-'Entrada de dades'!$B$8)*'Entrada de dades'!$B$12*('Entrada de dades'!$B$8/(1*(1/'Entrada de dades'!$B$8)))</f>
        <v>1076.6150685540176</v>
      </c>
      <c r="AA40" s="124">
        <f>O40*(1-'Entrada de dades'!$B$8)*'Entrada de dades'!$B$14*('Entrada de dades'!$B$8/(1*(1/'Entrada de dades'!$B$8)))</f>
        <v>76.800831660581167</v>
      </c>
      <c r="AB40" s="124">
        <f>P40*(1-'Entrada de dades'!$B$8)*'Entrada de dades'!$B$15*('Entrada de dades'!$B$8/(1*(1/'Entrada de dades'!$B$8)))</f>
        <v>19.546934059389496</v>
      </c>
      <c r="AC40" s="124">
        <f>Q40*(1-'Entrada de dades'!$B$8)*'Entrada de dades'!$B$15*('Entrada de dades'!$B$8/(1*(1/'Entrada de dades'!$B$8)))</f>
        <v>5.4063224737922599</v>
      </c>
      <c r="AD40" s="124">
        <f t="shared" si="53"/>
        <v>5303.5764703121895</v>
      </c>
      <c r="AE40" s="124">
        <f t="shared" si="53"/>
        <v>634.50300404059408</v>
      </c>
      <c r="AF40" s="124">
        <f t="shared" si="53"/>
        <v>6979.1099619422721</v>
      </c>
      <c r="AG40" s="124">
        <f t="shared" si="53"/>
        <v>497.85802278218841</v>
      </c>
      <c r="AH40" s="124">
        <f t="shared" si="53"/>
        <v>126.71214271832314</v>
      </c>
      <c r="AI40" s="124">
        <f t="shared" si="53"/>
        <v>35.046248316951576</v>
      </c>
      <c r="AJ40" s="124">
        <f>AD40*('[1]Entrada de dades'!$B$19+'[1]Entrada de dades'!$B$20)</f>
        <v>3182.1458821873143</v>
      </c>
      <c r="AK40" s="124">
        <f>AE40*('[1]Entrada de dades'!$B$19+'[1]Entrada de dades'!$B$20)</f>
        <v>380.70180242435652</v>
      </c>
      <c r="AL40" s="124">
        <f>AF40*('[1]Entrada de dades'!$B$19+'[1]Entrada de dades'!$B$20)</f>
        <v>4187.4659771653642</v>
      </c>
      <c r="AM40" s="124">
        <f>AG40*('[1]Entrada de dades'!$B$19+'[1]Entrada de dades'!$B$20)</f>
        <v>298.71481366931312</v>
      </c>
      <c r="AN40" s="124">
        <f>AH40*('[1]Entrada de dades'!$B$19+'[1]Entrada de dades'!$B$20)</f>
        <v>76.027285630993887</v>
      </c>
      <c r="AO40" s="124">
        <f>AI40*('[1]Entrada de dades'!$B$19+'[1]Entrada de dades'!$B$20)</f>
        <v>21.027748990170949</v>
      </c>
      <c r="AP40" s="124">
        <f t="shared" si="51"/>
        <v>2121.4305881248752</v>
      </c>
      <c r="AQ40" s="124">
        <f t="shared" si="51"/>
        <v>253.80120161623756</v>
      </c>
      <c r="AR40" s="124">
        <f t="shared" si="51"/>
        <v>2791.6439847769079</v>
      </c>
      <c r="AS40" s="124">
        <f t="shared" si="51"/>
        <v>199.1432091128753</v>
      </c>
      <c r="AT40" s="124">
        <f t="shared" si="51"/>
        <v>50.684857087329249</v>
      </c>
      <c r="AU40" s="124">
        <f t="shared" si="51"/>
        <v>14.018499326780628</v>
      </c>
      <c r="AV40" s="92">
        <f t="shared" si="54"/>
        <v>4072.4042284939183</v>
      </c>
      <c r="AW40" s="92">
        <f t="shared" si="71"/>
        <v>89.02077146689534</v>
      </c>
      <c r="AX40" s="92">
        <f t="shared" si="55"/>
        <v>9326.6033887411759</v>
      </c>
      <c r="AY40" s="92">
        <f t="shared" si="56"/>
        <v>5633.8510002473449</v>
      </c>
      <c r="AZ40" s="92">
        <f t="shared" si="57"/>
        <v>1706.8049596872495</v>
      </c>
      <c r="BA40" s="92">
        <f t="shared" si="58"/>
        <v>472.07086205443875</v>
      </c>
      <c r="BB40" s="92">
        <f t="shared" si="59"/>
        <v>448.78864091781747</v>
      </c>
      <c r="BC40" s="92">
        <f t="shared" si="60"/>
        <v>53.812199772682789</v>
      </c>
      <c r="BD40" s="92">
        <f t="shared" si="61"/>
        <v>751.92930729966042</v>
      </c>
      <c r="BE40" s="92">
        <f t="shared" si="62"/>
        <v>244.24914597694163</v>
      </c>
      <c r="BF40" s="92">
        <f t="shared" si="63"/>
        <v>70.502636208474982</v>
      </c>
      <c r="BG40" s="92">
        <f t="shared" si="64"/>
        <v>19.499732563551856</v>
      </c>
      <c r="BH40" s="92">
        <f t="shared" si="65"/>
        <v>880849.48343368236</v>
      </c>
      <c r="BI40" s="92">
        <f t="shared" si="66"/>
        <v>50195.164637909067</v>
      </c>
      <c r="BJ40" s="92">
        <f t="shared" si="67"/>
        <v>1280660.6759818397</v>
      </c>
      <c r="BK40" s="92">
        <f t="shared" si="68"/>
        <v>352546.99685633602</v>
      </c>
      <c r="BL40" s="92">
        <f t="shared" si="69"/>
        <v>101277.80732330206</v>
      </c>
      <c r="BM40" s="92">
        <f t="shared" si="70"/>
        <v>28011.578908732012</v>
      </c>
    </row>
    <row r="41" spans="1:65" ht="10.5" x14ac:dyDescent="0.25">
      <c r="A41" s="66">
        <v>26033</v>
      </c>
      <c r="B41" s="66" t="s">
        <v>571</v>
      </c>
      <c r="C41" s="66" t="s">
        <v>71</v>
      </c>
      <c r="D41" s="67" t="s">
        <v>321</v>
      </c>
      <c r="E41" s="143"/>
      <c r="F41" s="143"/>
      <c r="G41" s="143"/>
      <c r="H41" s="91"/>
      <c r="I41" s="91"/>
      <c r="K41" s="91">
        <v>43510.585454506414</v>
      </c>
      <c r="L41" s="96">
        <v>17495.745549417035</v>
      </c>
      <c r="M41" s="100">
        <v>3101.8751988014733</v>
      </c>
      <c r="N41" s="104">
        <v>20669.332483535927</v>
      </c>
      <c r="O41" s="108">
        <v>1996.9962930621321</v>
      </c>
      <c r="P41" s="112">
        <v>57.78</v>
      </c>
      <c r="Q41" s="116">
        <v>188.85592968983576</v>
      </c>
      <c r="R41" s="124">
        <f>L41*'Entrada de dades'!$B$8*'Entrada de dades'!$B$11</f>
        <v>1635.5022939595044</v>
      </c>
      <c r="S41" s="124">
        <f>M41*'Entrada de dades'!$B$8*'Entrada de dades'!$B$13</f>
        <v>195.66628754039695</v>
      </c>
      <c r="T41" s="124">
        <f>N41*'Entrada de dades'!$B$8*'Entrada de dades'!$B$12</f>
        <v>4995.3642746209625</v>
      </c>
      <c r="U41" s="124">
        <f>O41*'Entrada de dades'!$B$8*'Entrada de dades'!$B$14</f>
        <v>426.47852834634898</v>
      </c>
      <c r="V41" s="124">
        <f>P41*'Entrada de dades'!$B$8*'Entrada de dades'!$B$15</f>
        <v>7.0699608000000005</v>
      </c>
      <c r="W41" s="124">
        <f>Q41*'Entrada de dades'!$B$8*'Entrada de dades'!$B$15</f>
        <v>23.108411556848306</v>
      </c>
      <c r="X41" s="124">
        <f>L41*(1-'Entrada de dades'!$B$8)*'Entrada de dades'!$B$11*('Entrada de dades'!$B$8/(1*(1/'Entrada de dades'!$B$8)))</f>
        <v>298.3156184182136</v>
      </c>
      <c r="Y41" s="124">
        <f>M41*(1-'Entrada de dades'!$B$8)*'Entrada de dades'!$B$13*('Entrada de dades'!$B$8/(1*(1/'Entrada de dades'!$B$8)))</f>
        <v>35.689530847368403</v>
      </c>
      <c r="Z41" s="124">
        <f>N41*(1-'Entrada de dades'!$B$8)*'Entrada de dades'!$B$12*('Entrada de dades'!$B$8/(1*(1/'Entrada de dades'!$B$8)))</f>
        <v>911.15444369086356</v>
      </c>
      <c r="AA41" s="124">
        <f>O41*(1-'Entrada de dades'!$B$8)*'Entrada de dades'!$B$14*('Entrada de dades'!$B$8/(1*(1/'Entrada de dades'!$B$8)))</f>
        <v>77.789683570374052</v>
      </c>
      <c r="AB41" s="124">
        <f>P41*(1-'Entrada de dades'!$B$8)*'Entrada de dades'!$B$15*('Entrada de dades'!$B$8/(1*(1/'Entrada de dades'!$B$8)))</f>
        <v>1.2895608499200002</v>
      </c>
      <c r="AC41" s="124">
        <f>Q41*(1-'Entrada de dades'!$B$8)*'Entrada de dades'!$B$15*('Entrada de dades'!$B$8/(1*(1/'Entrada de dades'!$B$8)))</f>
        <v>4.2149742679691311</v>
      </c>
      <c r="AD41" s="124">
        <f t="shared" si="53"/>
        <v>1933.8179123777181</v>
      </c>
      <c r="AE41" s="124">
        <f t="shared" si="53"/>
        <v>231.35581838776534</v>
      </c>
      <c r="AF41" s="124">
        <f t="shared" si="53"/>
        <v>5906.518718311826</v>
      </c>
      <c r="AG41" s="124">
        <f t="shared" si="53"/>
        <v>504.26821191672303</v>
      </c>
      <c r="AH41" s="124">
        <f t="shared" si="53"/>
        <v>8.3595216499200014</v>
      </c>
      <c r="AI41" s="124">
        <f t="shared" si="53"/>
        <v>27.323385824817436</v>
      </c>
      <c r="AJ41" s="124">
        <f>AD41*('[1]Entrada de dades'!$B$19+'[1]Entrada de dades'!$B$20)</f>
        <v>1160.290747426631</v>
      </c>
      <c r="AK41" s="124">
        <f>AE41*('[1]Entrada de dades'!$B$19+'[1]Entrada de dades'!$B$20)</f>
        <v>138.81349103265921</v>
      </c>
      <c r="AL41" s="124">
        <f>AF41*('[1]Entrada de dades'!$B$19+'[1]Entrada de dades'!$B$20)</f>
        <v>3543.9112309870961</v>
      </c>
      <c r="AM41" s="124">
        <f>AG41*('[1]Entrada de dades'!$B$19+'[1]Entrada de dades'!$B$20)</f>
        <v>302.56092715003388</v>
      </c>
      <c r="AN41" s="124">
        <f>AH41*('[1]Entrada de dades'!$B$19+'[1]Entrada de dades'!$B$20)</f>
        <v>5.0157129899520019</v>
      </c>
      <c r="AO41" s="124">
        <f>AI41*('[1]Entrada de dades'!$B$19+'[1]Entrada de dades'!$B$20)</f>
        <v>16.394031494890463</v>
      </c>
      <c r="AP41" s="124">
        <f t="shared" si="51"/>
        <v>773.52716495108712</v>
      </c>
      <c r="AQ41" s="124">
        <f t="shared" si="51"/>
        <v>92.542327355106124</v>
      </c>
      <c r="AR41" s="124">
        <f t="shared" si="51"/>
        <v>2362.6074873247298</v>
      </c>
      <c r="AS41" s="124">
        <f t="shared" si="51"/>
        <v>201.70728476668916</v>
      </c>
      <c r="AT41" s="124">
        <f t="shared" si="51"/>
        <v>3.3438086599679995</v>
      </c>
      <c r="AU41" s="124">
        <f t="shared" ref="AU41:AU67" si="72">AI41-AO41</f>
        <v>10.929354329926973</v>
      </c>
      <c r="AV41" s="92">
        <f t="shared" si="54"/>
        <v>1484.9014221983548</v>
      </c>
      <c r="AW41" s="92">
        <f t="shared" si="71"/>
        <v>32.459221319803476</v>
      </c>
      <c r="AX41" s="92">
        <f t="shared" si="55"/>
        <v>7893.2353544031921</v>
      </c>
      <c r="AY41" s="92">
        <f t="shared" si="56"/>
        <v>5706.3898543277828</v>
      </c>
      <c r="AZ41" s="92">
        <f t="shared" si="57"/>
        <v>112.60225505312343</v>
      </c>
      <c r="BA41" s="92">
        <f t="shared" si="58"/>
        <v>368.04436765714138</v>
      </c>
      <c r="BB41" s="92">
        <f t="shared" si="59"/>
        <v>163.6396717454025</v>
      </c>
      <c r="BC41" s="92">
        <f t="shared" si="60"/>
        <v>19.621286957466381</v>
      </c>
      <c r="BD41" s="92">
        <f t="shared" si="61"/>
        <v>636.36832671091611</v>
      </c>
      <c r="BE41" s="92">
        <f t="shared" si="62"/>
        <v>247.39398476634432</v>
      </c>
      <c r="BF41" s="92">
        <f t="shared" si="63"/>
        <v>4.6512378460154888</v>
      </c>
      <c r="BG41" s="92">
        <f t="shared" si="64"/>
        <v>15.202731872928421</v>
      </c>
      <c r="BH41" s="92">
        <f t="shared" si="65"/>
        <v>321179.96576609102</v>
      </c>
      <c r="BI41" s="92">
        <f t="shared" si="66"/>
        <v>18302.424606281453</v>
      </c>
      <c r="BJ41" s="92">
        <f t="shared" si="67"/>
        <v>1083841.1052041224</v>
      </c>
      <c r="BK41" s="92">
        <f t="shared" si="68"/>
        <v>357086.22857551626</v>
      </c>
      <c r="BL41" s="92">
        <f t="shared" si="69"/>
        <v>6681.5539916928828</v>
      </c>
      <c r="BM41" s="92">
        <f t="shared" si="70"/>
        <v>21838.890461647494</v>
      </c>
    </row>
    <row r="42" spans="1:65" ht="10.5" x14ac:dyDescent="0.25">
      <c r="A42" s="66">
        <v>28115</v>
      </c>
      <c r="B42" s="66" t="s">
        <v>572</v>
      </c>
      <c r="C42" s="66" t="s">
        <v>71</v>
      </c>
      <c r="D42" s="67" t="s">
        <v>325</v>
      </c>
      <c r="E42" s="143"/>
      <c r="F42" s="143"/>
      <c r="G42" s="143"/>
      <c r="H42" s="91"/>
      <c r="I42" s="91"/>
      <c r="K42" s="91">
        <v>46604.794235348469</v>
      </c>
      <c r="L42" s="96">
        <v>19921.711399682605</v>
      </c>
      <c r="M42" s="100">
        <v>3531.982237271111</v>
      </c>
      <c r="N42" s="104">
        <v>20771.051639458841</v>
      </c>
      <c r="O42" s="108">
        <v>1430.0524302012725</v>
      </c>
      <c r="P42" s="112">
        <v>744.17218767146142</v>
      </c>
      <c r="Q42" s="116">
        <v>205.8243410631851</v>
      </c>
      <c r="R42" s="124">
        <f>L42*'Entrada de dades'!$B$8*'Entrada de dades'!$B$11</f>
        <v>1862.2815816423299</v>
      </c>
      <c r="S42" s="124">
        <f>M42*'Entrada de dades'!$B$8*'Entrada de dades'!$B$13</f>
        <v>222.7974395270617</v>
      </c>
      <c r="T42" s="124">
        <f>N42*'Entrada de dades'!$B$8*'Entrada de dades'!$B$12</f>
        <v>5019.9477602244133</v>
      </c>
      <c r="U42" s="124">
        <f>O42*'Entrada de dades'!$B$8*'Entrada de dades'!$B$14</f>
        <v>305.40199699378377</v>
      </c>
      <c r="V42" s="124">
        <f>P42*'Entrada de dades'!$B$8*'Entrada de dades'!$B$15</f>
        <v>91.05690888348002</v>
      </c>
      <c r="W42" s="124">
        <f>Q42*'Entrada de dades'!$B$8*'Entrada de dades'!$B$15</f>
        <v>25.184666372491332</v>
      </c>
      <c r="X42" s="124">
        <f>L42*(1-'Entrada de dades'!$B$8)*'Entrada de dades'!$B$11*('Entrada de dades'!$B$8/(1*(1/'Entrada de dades'!$B$8)))</f>
        <v>339.68016049156097</v>
      </c>
      <c r="Y42" s="124">
        <f>M42*(1-'Entrada de dades'!$B$8)*'Entrada de dades'!$B$13*('Entrada de dades'!$B$8/(1*(1/'Entrada de dades'!$B$8)))</f>
        <v>40.638252969736058</v>
      </c>
      <c r="Z42" s="124">
        <f>N42*(1-'Entrada de dades'!$B$8)*'Entrada de dades'!$B$12*('Entrada de dades'!$B$8/(1*(1/'Entrada de dades'!$B$8)))</f>
        <v>915.63847146493276</v>
      </c>
      <c r="AA42" s="124">
        <f>O42*(1-'Entrada de dades'!$B$8)*'Entrada de dades'!$B$14*('Entrada de dades'!$B$8/(1*(1/'Entrada de dades'!$B$8)))</f>
        <v>55.705324251666163</v>
      </c>
      <c r="AB42" s="124">
        <f>P42*(1-'Entrada de dades'!$B$8)*'Entrada de dades'!$B$15*('Entrada de dades'!$B$8/(1*(1/'Entrada de dades'!$B$8)))</f>
        <v>16.608780180346756</v>
      </c>
      <c r="AC42" s="124">
        <f>Q42*(1-'Entrada de dades'!$B$8)*'Entrada de dades'!$B$15*('Entrada de dades'!$B$8/(1*(1/'Entrada de dades'!$B$8)))</f>
        <v>4.5936831463424186</v>
      </c>
      <c r="AD42" s="124">
        <f t="shared" si="53"/>
        <v>2201.9617421338908</v>
      </c>
      <c r="AE42" s="124">
        <f t="shared" si="53"/>
        <v>263.43569249679774</v>
      </c>
      <c r="AF42" s="124">
        <f t="shared" si="53"/>
        <v>5935.5862316893463</v>
      </c>
      <c r="AG42" s="124">
        <f t="shared" si="53"/>
        <v>361.10732124544995</v>
      </c>
      <c r="AH42" s="124">
        <f t="shared" si="53"/>
        <v>107.66568906382678</v>
      </c>
      <c r="AI42" s="124">
        <f t="shared" si="53"/>
        <v>29.77834951883375</v>
      </c>
      <c r="AJ42" s="124">
        <f>AD42*('[1]Entrada de dades'!$B$19+'[1]Entrada de dades'!$B$20)</f>
        <v>1321.1770452803346</v>
      </c>
      <c r="AK42" s="124">
        <f>AE42*('[1]Entrada de dades'!$B$19+'[1]Entrada de dades'!$B$20)</f>
        <v>158.06141549807867</v>
      </c>
      <c r="AL42" s="124">
        <f>AF42*('[1]Entrada de dades'!$B$19+'[1]Entrada de dades'!$B$20)</f>
        <v>3561.3517390136085</v>
      </c>
      <c r="AM42" s="124">
        <f>AG42*('[1]Entrada de dades'!$B$19+'[1]Entrada de dades'!$B$20)</f>
        <v>216.66439274727</v>
      </c>
      <c r="AN42" s="124">
        <f>AH42*('[1]Entrada de dades'!$B$19+'[1]Entrada de dades'!$B$20)</f>
        <v>64.599413438296068</v>
      </c>
      <c r="AO42" s="124">
        <f>AI42*('[1]Entrada de dades'!$B$19+'[1]Entrada de dades'!$B$20)</f>
        <v>17.867009711300252</v>
      </c>
      <c r="AP42" s="124">
        <f t="shared" ref="AP42:AT66" si="73">AD42-AJ42</f>
        <v>880.78469685355617</v>
      </c>
      <c r="AQ42" s="124">
        <f t="shared" si="73"/>
        <v>105.37427699871907</v>
      </c>
      <c r="AR42" s="124">
        <f t="shared" si="73"/>
        <v>2374.2344926757378</v>
      </c>
      <c r="AS42" s="124">
        <f t="shared" si="73"/>
        <v>144.44292849817995</v>
      </c>
      <c r="AT42" s="124">
        <f t="shared" si="73"/>
        <v>43.066275625530707</v>
      </c>
      <c r="AU42" s="124">
        <f t="shared" si="72"/>
        <v>11.911339807533498</v>
      </c>
      <c r="AV42" s="92">
        <f t="shared" si="54"/>
        <v>1690.7983433149293</v>
      </c>
      <c r="AW42" s="92">
        <f t="shared" si="71"/>
        <v>36.960027657300721</v>
      </c>
      <c r="AX42" s="92">
        <f t="shared" si="55"/>
        <v>7932.0800165803757</v>
      </c>
      <c r="AY42" s="92">
        <f t="shared" si="56"/>
        <v>4086.3554465313359</v>
      </c>
      <c r="AZ42" s="92">
        <f t="shared" si="57"/>
        <v>1450.2503717484028</v>
      </c>
      <c r="BA42" s="92">
        <f t="shared" si="58"/>
        <v>401.11258131771945</v>
      </c>
      <c r="BB42" s="92">
        <f t="shared" si="59"/>
        <v>186.33000261936985</v>
      </c>
      <c r="BC42" s="92">
        <f t="shared" si="60"/>
        <v>22.341981080653419</v>
      </c>
      <c r="BD42" s="92">
        <f t="shared" si="61"/>
        <v>639.50006060221017</v>
      </c>
      <c r="BE42" s="92">
        <f t="shared" si="62"/>
        <v>177.15925180301775</v>
      </c>
      <c r="BF42" s="92">
        <f t="shared" si="63"/>
        <v>59.905189395113219</v>
      </c>
      <c r="BG42" s="92">
        <f t="shared" si="64"/>
        <v>16.568673672279097</v>
      </c>
      <c r="BH42" s="92">
        <f t="shared" si="65"/>
        <v>365714.88578634494</v>
      </c>
      <c r="BI42" s="92">
        <f t="shared" si="66"/>
        <v>20840.244840720028</v>
      </c>
      <c r="BJ42" s="92">
        <f t="shared" si="67"/>
        <v>1089174.9689108357</v>
      </c>
      <c r="BK42" s="92">
        <f t="shared" si="68"/>
        <v>255710.05351382308</v>
      </c>
      <c r="BL42" s="92">
        <f t="shared" si="69"/>
        <v>86054.459173469644</v>
      </c>
      <c r="BM42" s="92">
        <f t="shared" si="70"/>
        <v>23801.080782594003</v>
      </c>
    </row>
    <row r="43" spans="1:65" ht="10.5" x14ac:dyDescent="0.25">
      <c r="A43" s="66">
        <v>57217</v>
      </c>
      <c r="B43" s="66" t="s">
        <v>573</v>
      </c>
      <c r="C43" s="66" t="s">
        <v>71</v>
      </c>
      <c r="D43" s="67" t="s">
        <v>329</v>
      </c>
      <c r="E43" s="143"/>
      <c r="F43" s="143"/>
      <c r="G43" s="143"/>
      <c r="H43" s="91"/>
      <c r="I43" s="91"/>
      <c r="K43" s="91">
        <v>111744.4142725163</v>
      </c>
      <c r="L43" s="96">
        <v>65286.664274399474</v>
      </c>
      <c r="M43" s="100">
        <v>11574.875969317334</v>
      </c>
      <c r="N43" s="104">
        <v>30963.311062934725</v>
      </c>
      <c r="O43" s="108">
        <v>1980.0725956633005</v>
      </c>
      <c r="P43" s="112">
        <v>1519.2842795783652</v>
      </c>
      <c r="Q43" s="116">
        <v>420.20609062311109</v>
      </c>
      <c r="R43" s="124">
        <f>L43*'Entrada de dades'!$B$8*'Entrada de dades'!$B$11</f>
        <v>6102.9973763708622</v>
      </c>
      <c r="S43" s="124">
        <f>M43*'Entrada de dades'!$B$8*'Entrada de dades'!$B$13</f>
        <v>730.14317614453751</v>
      </c>
      <c r="T43" s="124">
        <f>N43*'Entrada de dades'!$B$8*'Entrada de dades'!$B$12</f>
        <v>7483.2130176900646</v>
      </c>
      <c r="U43" s="124">
        <f>O43*'Entrada de dades'!$B$8*'Entrada de dades'!$B$14</f>
        <v>422.86430352985445</v>
      </c>
      <c r="V43" s="124">
        <f>P43*'Entrada de dades'!$B$8*'Entrada de dades'!$B$15</f>
        <v>185.89962444920877</v>
      </c>
      <c r="W43" s="124">
        <f>Q43*'Entrada de dades'!$B$8*'Entrada de dades'!$B$15</f>
        <v>51.416417248643874</v>
      </c>
      <c r="X43" s="124">
        <f>L43*(1-'Entrada de dades'!$B$8)*'Entrada de dades'!$B$11*('Entrada de dades'!$B$8/(1*(1/'Entrada de dades'!$B$8)))</f>
        <v>1113.1867214500453</v>
      </c>
      <c r="Y43" s="124">
        <f>M43*(1-'Entrada de dades'!$B$8)*'Entrada de dades'!$B$13*('Entrada de dades'!$B$8/(1*(1/'Entrada de dades'!$B$8)))</f>
        <v>133.17811532876362</v>
      </c>
      <c r="Z43" s="124">
        <f>N43*(1-'Entrada de dades'!$B$8)*'Entrada de dades'!$B$12*('Entrada de dades'!$B$8/(1*(1/'Entrada de dades'!$B$8)))</f>
        <v>1364.9380544266678</v>
      </c>
      <c r="AA43" s="124">
        <f>O43*(1-'Entrada de dades'!$B$8)*'Entrada de dades'!$B$14*('Entrada de dades'!$B$8/(1*(1/'Entrada de dades'!$B$8)))</f>
        <v>77.130448963845453</v>
      </c>
      <c r="AB43" s="124">
        <f>P43*(1-'Entrada de dades'!$B$8)*'Entrada de dades'!$B$15*('Entrada de dades'!$B$8/(1*(1/'Entrada de dades'!$B$8)))</f>
        <v>33.908091499535672</v>
      </c>
      <c r="AC43" s="124">
        <f>Q43*(1-'Entrada de dades'!$B$8)*'Entrada de dades'!$B$15*('Entrada de dades'!$B$8/(1*(1/'Entrada de dades'!$B$8)))</f>
        <v>9.3783545061526414</v>
      </c>
      <c r="AD43" s="124">
        <f t="shared" si="53"/>
        <v>7216.1840978209075</v>
      </c>
      <c r="AE43" s="124">
        <f t="shared" si="53"/>
        <v>863.32129147330113</v>
      </c>
      <c r="AF43" s="124">
        <f t="shared" si="53"/>
        <v>8848.1510721167324</v>
      </c>
      <c r="AG43" s="124">
        <f t="shared" si="53"/>
        <v>499.99475249369993</v>
      </c>
      <c r="AH43" s="124">
        <f t="shared" si="53"/>
        <v>219.80771594874443</v>
      </c>
      <c r="AI43" s="124">
        <f t="shared" si="53"/>
        <v>60.794771754796514</v>
      </c>
      <c r="AJ43" s="124">
        <f>AD43*('[1]Entrada de dades'!$B$19+'[1]Entrada de dades'!$B$20)</f>
        <v>4329.7104586925452</v>
      </c>
      <c r="AK43" s="124">
        <f>AE43*('[1]Entrada de dades'!$B$19+'[1]Entrada de dades'!$B$20)</f>
        <v>517.9927748839807</v>
      </c>
      <c r="AL43" s="124">
        <f>AF43*('[1]Entrada de dades'!$B$19+'[1]Entrada de dades'!$B$20)</f>
        <v>5308.8906432700405</v>
      </c>
      <c r="AM43" s="124">
        <f>AG43*('[1]Entrada de dades'!$B$19+'[1]Entrada de dades'!$B$20)</f>
        <v>299.99685149622002</v>
      </c>
      <c r="AN43" s="124">
        <f>AH43*('[1]Entrada de dades'!$B$19+'[1]Entrada de dades'!$B$20)</f>
        <v>131.88462956924667</v>
      </c>
      <c r="AO43" s="124">
        <f>AI43*('[1]Entrada de dades'!$B$19+'[1]Entrada de dades'!$B$20)</f>
        <v>36.476863052877917</v>
      </c>
      <c r="AP43" s="124">
        <f t="shared" si="73"/>
        <v>2886.4736391283623</v>
      </c>
      <c r="AQ43" s="124">
        <f t="shared" si="73"/>
        <v>345.32851658932043</v>
      </c>
      <c r="AR43" s="124">
        <f t="shared" si="73"/>
        <v>3539.2604288466919</v>
      </c>
      <c r="AS43" s="124">
        <f t="shared" si="73"/>
        <v>199.99790099747992</v>
      </c>
      <c r="AT43" s="124">
        <f t="shared" si="73"/>
        <v>87.923086379497761</v>
      </c>
      <c r="AU43" s="124">
        <f t="shared" si="72"/>
        <v>24.317908701918597</v>
      </c>
      <c r="AV43" s="92">
        <f t="shared" si="54"/>
        <v>5541.0191213527623</v>
      </c>
      <c r="AW43" s="92">
        <f t="shared" si="71"/>
        <v>121.12397719370412</v>
      </c>
      <c r="AX43" s="92">
        <f t="shared" si="55"/>
        <v>11824.315166733919</v>
      </c>
      <c r="AY43" s="92">
        <f t="shared" si="56"/>
        <v>5658.030618274157</v>
      </c>
      <c r="AZ43" s="92">
        <f t="shared" si="57"/>
        <v>2960.7967453666306</v>
      </c>
      <c r="BA43" s="92">
        <f t="shared" si="58"/>
        <v>818.90192785080376</v>
      </c>
      <c r="BB43" s="92">
        <f t="shared" si="59"/>
        <v>610.63349835760516</v>
      </c>
      <c r="BC43" s="92">
        <f t="shared" si="60"/>
        <v>73.218278729850667</v>
      </c>
      <c r="BD43" s="92">
        <f t="shared" si="61"/>
        <v>953.29979650985683</v>
      </c>
      <c r="BE43" s="92">
        <f t="shared" si="62"/>
        <v>245.29742557340921</v>
      </c>
      <c r="BF43" s="92">
        <f t="shared" si="63"/>
        <v>122.3010131538814</v>
      </c>
      <c r="BG43" s="92">
        <f t="shared" si="64"/>
        <v>33.82621100436878</v>
      </c>
      <c r="BH43" s="92">
        <f t="shared" si="65"/>
        <v>1198506.7190996376</v>
      </c>
      <c r="BI43" s="92">
        <f t="shared" si="66"/>
        <v>68296.846642103803</v>
      </c>
      <c r="BJ43" s="92">
        <f t="shared" si="67"/>
        <v>1623628.1123234984</v>
      </c>
      <c r="BK43" s="92">
        <f t="shared" si="68"/>
        <v>354060.07409606274</v>
      </c>
      <c r="BL43" s="92">
        <f t="shared" si="69"/>
        <v>175686.74182646361</v>
      </c>
      <c r="BM43" s="92">
        <f t="shared" si="70"/>
        <v>48591.721739988032</v>
      </c>
    </row>
    <row r="44" spans="1:65" ht="10.5" x14ac:dyDescent="0.25">
      <c r="A44" s="66">
        <v>30217</v>
      </c>
      <c r="B44" s="66" t="s">
        <v>574</v>
      </c>
      <c r="C44" s="66" t="s">
        <v>71</v>
      </c>
      <c r="D44" s="67" t="s">
        <v>333</v>
      </c>
      <c r="E44" s="143"/>
      <c r="F44" s="143"/>
      <c r="G44" s="143"/>
      <c r="H44" s="91"/>
      <c r="I44" s="91"/>
      <c r="K44" s="91">
        <v>48945.075111504688</v>
      </c>
      <c r="L44" s="96">
        <v>26681.739033760306</v>
      </c>
      <c r="M44" s="100">
        <v>4730.4885828356137</v>
      </c>
      <c r="N44" s="104">
        <v>16804.004558465233</v>
      </c>
      <c r="O44" s="108">
        <v>253.8554609824744</v>
      </c>
      <c r="P44" s="112">
        <v>260.452</v>
      </c>
      <c r="Q44" s="116">
        <v>214.53547546106506</v>
      </c>
      <c r="R44" s="124">
        <f>L44*'Entrada de dades'!$B$8*'Entrada de dades'!$B$11</f>
        <v>2494.2089648759134</v>
      </c>
      <c r="S44" s="124">
        <f>M44*'Entrada de dades'!$B$8*'Entrada de dades'!$B$13</f>
        <v>298.39921980527055</v>
      </c>
      <c r="T44" s="124">
        <f>N44*'Entrada de dades'!$B$8*'Entrada de dades'!$B$12</f>
        <v>4061.1918216898775</v>
      </c>
      <c r="U44" s="124">
        <f>O44*'Entrada de dades'!$B$8*'Entrada de dades'!$B$14</f>
        <v>54.213372247417233</v>
      </c>
      <c r="V44" s="124">
        <f>P44*'Entrada de dades'!$B$8*'Entrada de dades'!$B$15</f>
        <v>31.868906720000002</v>
      </c>
      <c r="W44" s="124">
        <f>Q44*'Entrada de dades'!$B$8*'Entrada de dades'!$B$15</f>
        <v>26.25056077741592</v>
      </c>
      <c r="X44" s="124">
        <f>L44*(1-'Entrada de dades'!$B$8)*'Entrada de dades'!$B$11*('Entrada de dades'!$B$8/(1*(1/'Entrada de dades'!$B$8)))</f>
        <v>454.94371519336659</v>
      </c>
      <c r="Y44" s="124">
        <f>M44*(1-'Entrada de dades'!$B$8)*'Entrada de dades'!$B$13*('Entrada de dades'!$B$8/(1*(1/'Entrada de dades'!$B$8)))</f>
        <v>54.42801769248134</v>
      </c>
      <c r="Z44" s="124">
        <f>N44*(1-'Entrada de dades'!$B$8)*'Entrada de dades'!$B$12*('Entrada de dades'!$B$8/(1*(1/'Entrada de dades'!$B$8)))</f>
        <v>740.76138827623367</v>
      </c>
      <c r="AA44" s="124">
        <f>O44*(1-'Entrada de dades'!$B$8)*'Entrada de dades'!$B$14*('Entrada de dades'!$B$8/(1*(1/'Entrada de dades'!$B$8)))</f>
        <v>9.8885190979289046</v>
      </c>
      <c r="AB44" s="124">
        <f>P44*(1-'Entrada de dades'!$B$8)*'Entrada de dades'!$B$15*('Entrada de dades'!$B$8/(1*(1/'Entrada de dades'!$B$8)))</f>
        <v>5.8128885857280004</v>
      </c>
      <c r="AC44" s="124">
        <f>Q44*(1-'Entrada de dades'!$B$8)*'Entrada de dades'!$B$15*('Entrada de dades'!$B$8/(1*(1/'Entrada de dades'!$B$8)))</f>
        <v>4.7881022858006634</v>
      </c>
      <c r="AD44" s="124">
        <f t="shared" si="53"/>
        <v>2949.15268006928</v>
      </c>
      <c r="AE44" s="124">
        <f t="shared" si="53"/>
        <v>352.82723749775187</v>
      </c>
      <c r="AF44" s="124">
        <f t="shared" si="53"/>
        <v>4801.953209966111</v>
      </c>
      <c r="AG44" s="124">
        <f t="shared" si="53"/>
        <v>64.101891345346132</v>
      </c>
      <c r="AH44" s="124">
        <f t="shared" si="53"/>
        <v>37.681795305728002</v>
      </c>
      <c r="AI44" s="124">
        <f t="shared" si="53"/>
        <v>31.038663063216582</v>
      </c>
      <c r="AJ44" s="124">
        <f>AD44*('[1]Entrada de dades'!$B$19+'[1]Entrada de dades'!$B$20)</f>
        <v>1769.4916080415683</v>
      </c>
      <c r="AK44" s="124">
        <f>AE44*('[1]Entrada de dades'!$B$19+'[1]Entrada de dades'!$B$20)</f>
        <v>211.69634249865115</v>
      </c>
      <c r="AL44" s="124">
        <f>AF44*('[1]Entrada de dades'!$B$19+'[1]Entrada de dades'!$B$20)</f>
        <v>2881.1719259796669</v>
      </c>
      <c r="AM44" s="124">
        <f>AG44*('[1]Entrada de dades'!$B$19+'[1]Entrada de dades'!$B$20)</f>
        <v>38.461134807207685</v>
      </c>
      <c r="AN44" s="124">
        <f>AH44*('[1]Entrada de dades'!$B$19+'[1]Entrada de dades'!$B$20)</f>
        <v>22.609077183436806</v>
      </c>
      <c r="AO44" s="124">
        <f>AI44*('[1]Entrada de dades'!$B$19+'[1]Entrada de dades'!$B$20)</f>
        <v>18.623197837929951</v>
      </c>
      <c r="AP44" s="124">
        <f t="shared" si="73"/>
        <v>1179.6610720277117</v>
      </c>
      <c r="AQ44" s="124">
        <f t="shared" si="73"/>
        <v>141.13089499910072</v>
      </c>
      <c r="AR44" s="124">
        <f t="shared" si="73"/>
        <v>1920.7812839864441</v>
      </c>
      <c r="AS44" s="124">
        <f t="shared" si="73"/>
        <v>25.640756538138447</v>
      </c>
      <c r="AT44" s="124">
        <f t="shared" si="73"/>
        <v>15.072718122291196</v>
      </c>
      <c r="AU44" s="124">
        <f t="shared" si="72"/>
        <v>12.415465225286631</v>
      </c>
      <c r="AV44" s="92">
        <f t="shared" si="54"/>
        <v>2264.5363769179976</v>
      </c>
      <c r="AW44" s="92">
        <f t="shared" si="71"/>
        <v>49.501661420934582</v>
      </c>
      <c r="AX44" s="92">
        <f t="shared" si="55"/>
        <v>6417.1381916703122</v>
      </c>
      <c r="AY44" s="92">
        <f t="shared" si="56"/>
        <v>725.38854080437898</v>
      </c>
      <c r="AZ44" s="92">
        <f t="shared" si="57"/>
        <v>507.57152186043788</v>
      </c>
      <c r="BA44" s="92">
        <f t="shared" si="58"/>
        <v>418.08892914174356</v>
      </c>
      <c r="BB44" s="92">
        <f t="shared" si="59"/>
        <v>249.55729978746245</v>
      </c>
      <c r="BC44" s="92">
        <f t="shared" si="60"/>
        <v>29.923278012184333</v>
      </c>
      <c r="BD44" s="92">
        <f t="shared" si="61"/>
        <v>517.36243884174883</v>
      </c>
      <c r="BE44" s="92">
        <f t="shared" si="62"/>
        <v>31.448387894026812</v>
      </c>
      <c r="BF44" s="92">
        <f t="shared" si="63"/>
        <v>20.966150908107061</v>
      </c>
      <c r="BG44" s="92">
        <f t="shared" si="64"/>
        <v>17.269912128373704</v>
      </c>
      <c r="BH44" s="92">
        <f t="shared" si="65"/>
        <v>489812.79507282574</v>
      </c>
      <c r="BI44" s="92">
        <f t="shared" si="66"/>
        <v>27911.958118649407</v>
      </c>
      <c r="BJ44" s="92">
        <f t="shared" si="67"/>
        <v>881154.28434902069</v>
      </c>
      <c r="BK44" s="92">
        <f t="shared" si="68"/>
        <v>45392.317191802904</v>
      </c>
      <c r="BL44" s="92">
        <f t="shared" si="69"/>
        <v>30118.104884811259</v>
      </c>
      <c r="BM44" s="92">
        <f t="shared" si="70"/>
        <v>24808.417487480256</v>
      </c>
    </row>
    <row r="45" spans="1:65" ht="10.5" x14ac:dyDescent="0.25">
      <c r="A45" s="66">
        <v>223011</v>
      </c>
      <c r="B45" s="66" t="s">
        <v>575</v>
      </c>
      <c r="C45" s="66" t="s">
        <v>71</v>
      </c>
      <c r="D45" s="67" t="s">
        <v>339</v>
      </c>
      <c r="E45" s="143"/>
      <c r="F45" s="143"/>
      <c r="G45" s="143"/>
      <c r="H45" s="91"/>
      <c r="I45" s="91"/>
      <c r="K45" s="91">
        <v>603215.49558268429</v>
      </c>
      <c r="L45" s="96">
        <v>381642.24166199786</v>
      </c>
      <c r="M45" s="100">
        <v>67662.541209385308</v>
      </c>
      <c r="N45" s="104">
        <v>144013.98095566028</v>
      </c>
      <c r="O45" s="108">
        <v>5153.2658579442304</v>
      </c>
      <c r="P45" s="112">
        <v>3128.9340000000002</v>
      </c>
      <c r="Q45" s="116">
        <v>1614.5318976964775</v>
      </c>
      <c r="R45" s="124">
        <f>L45*'Entrada de dades'!$B$8*'Entrada de dades'!$B$11</f>
        <v>35675.916750563563</v>
      </c>
      <c r="S45" s="124">
        <f>M45*'Entrada de dades'!$B$8*'Entrada de dades'!$B$13</f>
        <v>4268.153099488025</v>
      </c>
      <c r="T45" s="124">
        <f>N45*'Entrada de dades'!$B$8*'Entrada de dades'!$B$12</f>
        <v>34805.29891736398</v>
      </c>
      <c r="U45" s="124">
        <f>O45*'Entrada de dades'!$B$8*'Entrada de dades'!$B$14</f>
        <v>1100.53145662257</v>
      </c>
      <c r="V45" s="124">
        <f>P45*'Entrada de dades'!$B$8*'Entrada de dades'!$B$15</f>
        <v>382.85636424000006</v>
      </c>
      <c r="W45" s="124">
        <f>Q45*'Entrada de dades'!$B$8*'Entrada de dades'!$B$15</f>
        <v>197.55412300214098</v>
      </c>
      <c r="X45" s="124">
        <f>L45*(1-'Entrada de dades'!$B$8)*'Entrada de dades'!$B$11*('Entrada de dades'!$B$8/(1*(1/'Entrada de dades'!$B$8)))</f>
        <v>6507.287215302792</v>
      </c>
      <c r="Y45" s="124">
        <f>M45*(1-'Entrada de dades'!$B$8)*'Entrada de dades'!$B$13*('Entrada de dades'!$B$8/(1*(1/'Entrada de dades'!$B$8)))</f>
        <v>778.51112534661581</v>
      </c>
      <c r="Z45" s="124">
        <f>N45*(1-'Entrada de dades'!$B$8)*'Entrada de dades'!$B$12*('Entrada de dades'!$B$8/(1*(1/'Entrada de dades'!$B$8)))</f>
        <v>6348.4865225271897</v>
      </c>
      <c r="AA45" s="124">
        <f>O45*(1-'Entrada de dades'!$B$8)*'Entrada de dades'!$B$14*('Entrada de dades'!$B$8/(1*(1/'Entrada de dades'!$B$8)))</f>
        <v>200.73693768795678</v>
      </c>
      <c r="AB45" s="124">
        <f>P45*(1-'Entrada de dades'!$B$8)*'Entrada de dades'!$B$15*('Entrada de dades'!$B$8/(1*(1/'Entrada de dades'!$B$8)))</f>
        <v>69.833000837376005</v>
      </c>
      <c r="AC45" s="124">
        <f>Q45*(1-'Entrada de dades'!$B$8)*'Entrada de dades'!$B$15*('Entrada de dades'!$B$8/(1*(1/'Entrada de dades'!$B$8)))</f>
        <v>36.033872035590512</v>
      </c>
      <c r="AD45" s="124">
        <f t="shared" si="53"/>
        <v>42183.203965866356</v>
      </c>
      <c r="AE45" s="124">
        <f t="shared" si="53"/>
        <v>5046.6642248346407</v>
      </c>
      <c r="AF45" s="124">
        <f t="shared" si="53"/>
        <v>41153.785439891173</v>
      </c>
      <c r="AG45" s="124">
        <f t="shared" si="53"/>
        <v>1301.2683943105267</v>
      </c>
      <c r="AH45" s="124">
        <f t="shared" si="53"/>
        <v>452.68936507737607</v>
      </c>
      <c r="AI45" s="124">
        <f t="shared" si="53"/>
        <v>233.5879950377315</v>
      </c>
      <c r="AJ45" s="124">
        <f>AD45*('[1]Entrada de dades'!$B$19+'[1]Entrada de dades'!$B$20)</f>
        <v>25309.922379519816</v>
      </c>
      <c r="AK45" s="124">
        <f>AE45*('[1]Entrada de dades'!$B$19+'[1]Entrada de dades'!$B$20)</f>
        <v>3027.9985349007848</v>
      </c>
      <c r="AL45" s="124">
        <f>AF45*('[1]Entrada de dades'!$B$19+'[1]Entrada de dades'!$B$20)</f>
        <v>24692.271263934708</v>
      </c>
      <c r="AM45" s="124">
        <f>AG45*('[1]Entrada de dades'!$B$19+'[1]Entrada de dades'!$B$20)</f>
        <v>780.7610365863161</v>
      </c>
      <c r="AN45" s="124">
        <f>AH45*('[1]Entrada de dades'!$B$19+'[1]Entrada de dades'!$B$20)</f>
        <v>271.6136190464257</v>
      </c>
      <c r="AO45" s="124">
        <f>AI45*('[1]Entrada de dades'!$B$19+'[1]Entrada de dades'!$B$20)</f>
        <v>140.15279702263894</v>
      </c>
      <c r="AP45" s="124">
        <f t="shared" si="73"/>
        <v>16873.28158634654</v>
      </c>
      <c r="AQ45" s="124">
        <f t="shared" si="73"/>
        <v>2018.6656899338559</v>
      </c>
      <c r="AR45" s="124">
        <f t="shared" si="73"/>
        <v>16461.514175956465</v>
      </c>
      <c r="AS45" s="124">
        <f t="shared" si="73"/>
        <v>520.50735772421058</v>
      </c>
      <c r="AT45" s="124">
        <f t="shared" si="73"/>
        <v>181.07574603095037</v>
      </c>
      <c r="AU45" s="124">
        <f t="shared" si="72"/>
        <v>93.435198015092567</v>
      </c>
      <c r="AV45" s="92">
        <f t="shared" si="54"/>
        <v>32390.794997230143</v>
      </c>
      <c r="AW45" s="92">
        <f t="shared" si="71"/>
        <v>708.04699074430005</v>
      </c>
      <c r="AX45" s="92">
        <f t="shared" si="55"/>
        <v>54996.272710452977</v>
      </c>
      <c r="AY45" s="92">
        <f t="shared" si="56"/>
        <v>14725.387378328896</v>
      </c>
      <c r="AZ45" s="92">
        <f t="shared" si="57"/>
        <v>6097.6985862303509</v>
      </c>
      <c r="BA45" s="92">
        <f t="shared" si="58"/>
        <v>3146.4162778785412</v>
      </c>
      <c r="BB45" s="92">
        <f t="shared" si="59"/>
        <v>3569.5427195916113</v>
      </c>
      <c r="BC45" s="92">
        <f t="shared" si="60"/>
        <v>428.00759290822589</v>
      </c>
      <c r="BD45" s="92">
        <f t="shared" si="61"/>
        <v>4433.9088432938752</v>
      </c>
      <c r="BE45" s="92">
        <f t="shared" si="62"/>
        <v>638.40227424874433</v>
      </c>
      <c r="BF45" s="92">
        <f t="shared" si="63"/>
        <v>251.87636272905206</v>
      </c>
      <c r="BG45" s="92">
        <f t="shared" si="64"/>
        <v>129.96836043899378</v>
      </c>
      <c r="BH45" s="92">
        <f t="shared" si="65"/>
        <v>7006037.0828826427</v>
      </c>
      <c r="BI45" s="92">
        <f t="shared" si="66"/>
        <v>399238.67976141808</v>
      </c>
      <c r="BJ45" s="92">
        <f t="shared" si="67"/>
        <v>7551684.2359645525</v>
      </c>
      <c r="BK45" s="92">
        <f t="shared" si="68"/>
        <v>921464.03899359913</v>
      </c>
      <c r="BL45" s="92">
        <f t="shared" si="69"/>
        <v>361823.14741162298</v>
      </c>
      <c r="BM45" s="92">
        <f t="shared" si="70"/>
        <v>186700.96998562448</v>
      </c>
    </row>
    <row r="46" spans="1:65" ht="10.5" x14ac:dyDescent="0.25">
      <c r="A46" s="66">
        <v>47319</v>
      </c>
      <c r="B46" s="66" t="s">
        <v>576</v>
      </c>
      <c r="C46" s="66" t="s">
        <v>71</v>
      </c>
      <c r="D46" s="67" t="s">
        <v>503</v>
      </c>
      <c r="E46" s="143"/>
      <c r="F46" s="143"/>
      <c r="G46" s="143"/>
      <c r="H46" s="91"/>
      <c r="I46" s="91"/>
      <c r="K46" s="91">
        <v>87890.779689364295</v>
      </c>
      <c r="L46" s="96">
        <v>38893.871713762775</v>
      </c>
      <c r="M46" s="100">
        <v>6895.615606292743</v>
      </c>
      <c r="N46" s="104">
        <v>38856.717562552782</v>
      </c>
      <c r="O46" s="108">
        <v>2665.4823403159812</v>
      </c>
      <c r="P46" s="112">
        <v>240.79300000000001</v>
      </c>
      <c r="Q46" s="116">
        <v>338.29946644001978</v>
      </c>
      <c r="R46" s="124">
        <f>L46*'Entrada de dades'!$B$8*'Entrada de dades'!$B$11</f>
        <v>3635.7991278025443</v>
      </c>
      <c r="S46" s="124">
        <f>M46*'Entrada de dades'!$B$8*'Entrada de dades'!$B$13</f>
        <v>434.97543244494631</v>
      </c>
      <c r="T46" s="124">
        <f>N46*'Entrada de dades'!$B$8*'Entrada de dades'!$B$12</f>
        <v>9390.8915005177569</v>
      </c>
      <c r="U46" s="124">
        <f>O46*'Entrada de dades'!$B$8*'Entrada de dades'!$B$14</f>
        <v>569.24040859788101</v>
      </c>
      <c r="V46" s="124">
        <f>P46*'Entrada de dades'!$B$8*'Entrada de dades'!$B$15</f>
        <v>29.463431480000001</v>
      </c>
      <c r="W46" s="124">
        <f>Q46*'Entrada de dades'!$B$8*'Entrada de dades'!$B$15</f>
        <v>41.394322713600822</v>
      </c>
      <c r="X46" s="124">
        <f>L46*(1-'Entrada de dades'!$B$8)*'Entrada de dades'!$B$11*('Entrada de dades'!$B$8/(1*(1/'Entrada de dades'!$B$8)))</f>
        <v>663.16976091118408</v>
      </c>
      <c r="Y46" s="124">
        <f>M46*(1-'Entrada de dades'!$B$8)*'Entrada de dades'!$B$13*('Entrada de dades'!$B$8/(1*(1/'Entrada de dades'!$B$8)))</f>
        <v>79.339518877958199</v>
      </c>
      <c r="Z46" s="124">
        <f>N46*(1-'Entrada de dades'!$B$8)*'Entrada de dades'!$B$12*('Entrada de dades'!$B$8/(1*(1/'Entrada de dades'!$B$8)))</f>
        <v>1712.8986096944384</v>
      </c>
      <c r="AA46" s="124">
        <f>O46*(1-'Entrada de dades'!$B$8)*'Entrada de dades'!$B$14*('Entrada de dades'!$B$8/(1*(1/'Entrada de dades'!$B$8)))</f>
        <v>103.82945052825349</v>
      </c>
      <c r="AB46" s="124">
        <f>P46*(1-'Entrada de dades'!$B$8)*'Entrada de dades'!$B$15*('Entrada de dades'!$B$8/(1*(1/'Entrada de dades'!$B$8)))</f>
        <v>5.3741299019520001</v>
      </c>
      <c r="AC46" s="124">
        <f>Q46*(1-'Entrada de dades'!$B$8)*'Entrada de dades'!$B$15*('Entrada de dades'!$B$8/(1*(1/'Entrada de dades'!$B$8)))</f>
        <v>7.5503244629607904</v>
      </c>
      <c r="AD46" s="124">
        <f t="shared" ref="AD46:AI67" si="74">R46+X46</f>
        <v>4298.9688887137281</v>
      </c>
      <c r="AE46" s="124">
        <f t="shared" si="74"/>
        <v>514.31495132290456</v>
      </c>
      <c r="AF46" s="124">
        <f t="shared" si="74"/>
        <v>11103.790110212196</v>
      </c>
      <c r="AG46" s="124">
        <f t="shared" si="74"/>
        <v>673.06985912613447</v>
      </c>
      <c r="AH46" s="124">
        <f t="shared" si="74"/>
        <v>34.837561381952</v>
      </c>
      <c r="AI46" s="124">
        <f t="shared" si="74"/>
        <v>48.94464717656161</v>
      </c>
      <c r="AJ46" s="124">
        <f>AD46*('[1]Entrada de dades'!$B$19+'[1]Entrada de dades'!$B$20)</f>
        <v>2579.3813332282371</v>
      </c>
      <c r="AK46" s="124">
        <f>AE46*('[1]Entrada de dades'!$B$19+'[1]Entrada de dades'!$B$20)</f>
        <v>308.58897079374276</v>
      </c>
      <c r="AL46" s="124">
        <f>AF46*('[1]Entrada de dades'!$B$19+'[1]Entrada de dades'!$B$20)</f>
        <v>6662.2740661273183</v>
      </c>
      <c r="AM46" s="124">
        <f>AG46*('[1]Entrada de dades'!$B$19+'[1]Entrada de dades'!$B$20)</f>
        <v>403.84191547568076</v>
      </c>
      <c r="AN46" s="124">
        <f>AH46*('[1]Entrada de dades'!$B$19+'[1]Entrada de dades'!$B$20)</f>
        <v>20.902536829171204</v>
      </c>
      <c r="AO46" s="124">
        <f>AI46*('[1]Entrada de dades'!$B$19+'[1]Entrada de dades'!$B$20)</f>
        <v>29.366788305936971</v>
      </c>
      <c r="AP46" s="124">
        <f t="shared" si="73"/>
        <v>1719.5875554854911</v>
      </c>
      <c r="AQ46" s="124">
        <f t="shared" si="73"/>
        <v>205.7259805291618</v>
      </c>
      <c r="AR46" s="124">
        <f t="shared" si="73"/>
        <v>4441.5160440848776</v>
      </c>
      <c r="AS46" s="124">
        <f t="shared" si="73"/>
        <v>269.22794365045371</v>
      </c>
      <c r="AT46" s="124">
        <f t="shared" si="73"/>
        <v>13.935024552780796</v>
      </c>
      <c r="AU46" s="124">
        <f t="shared" si="72"/>
        <v>19.577858870624638</v>
      </c>
      <c r="AV46" s="92">
        <f t="shared" si="54"/>
        <v>3301.0062508877236</v>
      </c>
      <c r="AW46" s="92">
        <f t="shared" si="71"/>
        <v>72.158387670603503</v>
      </c>
      <c r="AX46" s="92">
        <f t="shared" si="55"/>
        <v>14838.66095168317</v>
      </c>
      <c r="AY46" s="92">
        <f t="shared" si="56"/>
        <v>7616.5796784459808</v>
      </c>
      <c r="AZ46" s="92">
        <f t="shared" si="57"/>
        <v>469.25986156121053</v>
      </c>
      <c r="BA46" s="92">
        <f t="shared" si="58"/>
        <v>659.28146078945429</v>
      </c>
      <c r="BB46" s="92">
        <f t="shared" si="59"/>
        <v>363.77874736295564</v>
      </c>
      <c r="BC46" s="92">
        <f t="shared" si="60"/>
        <v>43.619051021695533</v>
      </c>
      <c r="BD46" s="92">
        <f t="shared" si="61"/>
        <v>1196.3223464742621</v>
      </c>
      <c r="BE46" s="92">
        <f t="shared" si="62"/>
        <v>330.20807288728156</v>
      </c>
      <c r="BF46" s="92">
        <f t="shared" si="63"/>
        <v>19.383619152918094</v>
      </c>
      <c r="BG46" s="92">
        <f t="shared" si="64"/>
        <v>27.23280168903888</v>
      </c>
      <c r="BH46" s="92">
        <f t="shared" si="65"/>
        <v>713998.28891277499</v>
      </c>
      <c r="BI46" s="92">
        <f t="shared" si="66"/>
        <v>40687.157496483225</v>
      </c>
      <c r="BJ46" s="92">
        <f t="shared" si="67"/>
        <v>2037535.935964443</v>
      </c>
      <c r="BK46" s="92">
        <f t="shared" si="68"/>
        <v>476619.33051393059</v>
      </c>
      <c r="BL46" s="92">
        <f t="shared" si="69"/>
        <v>27844.780725540048</v>
      </c>
      <c r="BM46" s="92">
        <f t="shared" si="70"/>
        <v>39120.21720975919</v>
      </c>
    </row>
    <row r="47" spans="1:65" ht="10.5" x14ac:dyDescent="0.25">
      <c r="A47" s="66">
        <v>66707</v>
      </c>
      <c r="B47" s="66" t="s">
        <v>577</v>
      </c>
      <c r="C47" s="66" t="s">
        <v>71</v>
      </c>
      <c r="D47" s="67" t="s">
        <v>365</v>
      </c>
      <c r="E47" s="143"/>
      <c r="F47" s="143"/>
      <c r="G47" s="143"/>
      <c r="H47" s="91"/>
      <c r="I47" s="91"/>
      <c r="K47" s="91">
        <v>76648.733839246837</v>
      </c>
      <c r="L47" s="96">
        <v>30847.445108856024</v>
      </c>
      <c r="M47" s="100">
        <v>5469.0395821822285</v>
      </c>
      <c r="N47" s="104">
        <v>35957.721618749762</v>
      </c>
      <c r="O47" s="108">
        <v>2123.9240235533689</v>
      </c>
      <c r="P47" s="112">
        <v>1762.9922677733653</v>
      </c>
      <c r="Q47" s="116">
        <v>487.61123813208462</v>
      </c>
      <c r="R47" s="124">
        <f>L47*'Entrada de dades'!$B$8*'Entrada de dades'!$B$11</f>
        <v>2883.619168775861</v>
      </c>
      <c r="S47" s="124">
        <f>M47*'Entrada de dades'!$B$8*'Entrada de dades'!$B$13</f>
        <v>344.98701684405495</v>
      </c>
      <c r="T47" s="124">
        <f>N47*'Entrada de dades'!$B$8*'Entrada de dades'!$B$12</f>
        <v>8690.2621608194422</v>
      </c>
      <c r="U47" s="124">
        <f>O47*'Entrada de dades'!$B$8*'Entrada de dades'!$B$14</f>
        <v>453.58521447005751</v>
      </c>
      <c r="V47" s="124">
        <f>P47*'Entrada de dades'!$B$8*'Entrada de dades'!$B$15</f>
        <v>215.71973388474896</v>
      </c>
      <c r="W47" s="124">
        <f>Q47*'Entrada de dades'!$B$8*'Entrada de dades'!$B$15</f>
        <v>59.664111097841875</v>
      </c>
      <c r="X47" s="124">
        <f>L47*(1-'Entrada de dades'!$B$8)*'Entrada de dades'!$B$11*('Entrada de dades'!$B$8/(1*(1/'Entrada de dades'!$B$8)))</f>
        <v>525.97213638471703</v>
      </c>
      <c r="Y47" s="124">
        <f>M47*(1-'Entrada de dades'!$B$8)*'Entrada de dades'!$B$13*('Entrada de dades'!$B$8/(1*(1/'Entrada de dades'!$B$8)))</f>
        <v>62.925631872355638</v>
      </c>
      <c r="Z47" s="124">
        <f>N47*(1-'Entrada de dades'!$B$8)*'Entrada de dades'!$B$12*('Entrada de dades'!$B$8/(1*(1/'Entrada de dades'!$B$8)))</f>
        <v>1585.1038181334663</v>
      </c>
      <c r="AA47" s="124">
        <f>O47*(1-'Entrada de dades'!$B$8)*'Entrada de dades'!$B$14*('Entrada de dades'!$B$8/(1*(1/'Entrada de dades'!$B$8)))</f>
        <v>82.733943119338477</v>
      </c>
      <c r="AB47" s="124">
        <f>P47*(1-'Entrada de dades'!$B$8)*'Entrada de dades'!$B$15*('Entrada de dades'!$B$8/(1*(1/'Entrada de dades'!$B$8)))</f>
        <v>39.347279460578214</v>
      </c>
      <c r="AC47" s="124">
        <f>Q47*(1-'Entrada de dades'!$B$8)*'Entrada de dades'!$B$15*('Entrada de dades'!$B$8/(1*(1/'Entrada de dades'!$B$8)))</f>
        <v>10.882733864246358</v>
      </c>
      <c r="AD47" s="124">
        <f t="shared" si="74"/>
        <v>3409.591305160578</v>
      </c>
      <c r="AE47" s="124">
        <f t="shared" si="74"/>
        <v>407.91264871641056</v>
      </c>
      <c r="AF47" s="124">
        <f t="shared" si="74"/>
        <v>10275.365978952908</v>
      </c>
      <c r="AG47" s="124">
        <f t="shared" si="74"/>
        <v>536.31915758939601</v>
      </c>
      <c r="AH47" s="124">
        <f t="shared" si="74"/>
        <v>255.06701334532718</v>
      </c>
      <c r="AI47" s="124">
        <f t="shared" si="74"/>
        <v>70.54684496208823</v>
      </c>
      <c r="AJ47" s="124">
        <f>AD47*('[1]Entrada de dades'!$B$19+'[1]Entrada de dades'!$B$20)</f>
        <v>2045.7547830963472</v>
      </c>
      <c r="AK47" s="124">
        <f>AE47*('[1]Entrada de dades'!$B$19+'[1]Entrada de dades'!$B$20)</f>
        <v>244.74758922984637</v>
      </c>
      <c r="AL47" s="124">
        <f>AF47*('[1]Entrada de dades'!$B$19+'[1]Entrada de dades'!$B$20)</f>
        <v>6165.2195873717455</v>
      </c>
      <c r="AM47" s="124">
        <f>AG47*('[1]Entrada de dades'!$B$19+'[1]Entrada de dades'!$B$20)</f>
        <v>321.79149455363768</v>
      </c>
      <c r="AN47" s="124">
        <f>AH47*('[1]Entrada de dades'!$B$19+'[1]Entrada de dades'!$B$20)</f>
        <v>153.04020800719633</v>
      </c>
      <c r="AO47" s="124">
        <f>AI47*('[1]Entrada de dades'!$B$19+'[1]Entrada de dades'!$B$20)</f>
        <v>42.328106977252943</v>
      </c>
      <c r="AP47" s="124">
        <f t="shared" si="73"/>
        <v>1363.8365220642308</v>
      </c>
      <c r="AQ47" s="124">
        <f t="shared" si="73"/>
        <v>163.16505948656419</v>
      </c>
      <c r="AR47" s="124">
        <f t="shared" si="73"/>
        <v>4110.1463915811628</v>
      </c>
      <c r="AS47" s="124">
        <f t="shared" si="73"/>
        <v>214.52766303575834</v>
      </c>
      <c r="AT47" s="124">
        <f t="shared" si="73"/>
        <v>102.02680533813086</v>
      </c>
      <c r="AU47" s="124">
        <f t="shared" si="72"/>
        <v>28.218737984835286</v>
      </c>
      <c r="AV47" s="92">
        <f t="shared" si="54"/>
        <v>2618.0887795806016</v>
      </c>
      <c r="AW47" s="92">
        <f t="shared" si="71"/>
        <v>57.23014461491239</v>
      </c>
      <c r="AX47" s="92">
        <f t="shared" si="55"/>
        <v>13731.58807963351</v>
      </c>
      <c r="AY47" s="92">
        <f t="shared" si="56"/>
        <v>6069.0841247299713</v>
      </c>
      <c r="AZ47" s="92">
        <f t="shared" si="57"/>
        <v>3435.7373657407561</v>
      </c>
      <c r="BA47" s="92">
        <f t="shared" si="58"/>
        <v>950.26176882863069</v>
      </c>
      <c r="BB47" s="92">
        <f t="shared" si="59"/>
        <v>288.51961624268813</v>
      </c>
      <c r="BC47" s="92">
        <f t="shared" si="60"/>
        <v>34.595071737638776</v>
      </c>
      <c r="BD47" s="92">
        <f t="shared" si="61"/>
        <v>1107.0679305723866</v>
      </c>
      <c r="BE47" s="92">
        <f t="shared" si="62"/>
        <v>263.11817871335768</v>
      </c>
      <c r="BF47" s="92">
        <f t="shared" si="63"/>
        <v>141.91928622534004</v>
      </c>
      <c r="BG47" s="92">
        <f t="shared" si="64"/>
        <v>39.252264536905891</v>
      </c>
      <c r="BH47" s="92">
        <f t="shared" si="65"/>
        <v>566285.17693342164</v>
      </c>
      <c r="BI47" s="92">
        <f t="shared" si="66"/>
        <v>32269.733050618994</v>
      </c>
      <c r="BJ47" s="92">
        <f t="shared" si="67"/>
        <v>1885520.8203231168</v>
      </c>
      <c r="BK47" s="92">
        <f t="shared" si="68"/>
        <v>379782.38717141765</v>
      </c>
      <c r="BL47" s="92">
        <f t="shared" si="69"/>
        <v>203868.60547014212</v>
      </c>
      <c r="BM47" s="92">
        <f t="shared" si="70"/>
        <v>56386.306932082691</v>
      </c>
    </row>
    <row r="48" spans="1:65" ht="10.5" x14ac:dyDescent="0.25">
      <c r="A48" s="66">
        <v>39969</v>
      </c>
      <c r="B48" s="66" t="s">
        <v>578</v>
      </c>
      <c r="C48" s="66" t="s">
        <v>71</v>
      </c>
      <c r="D48" s="67" t="s">
        <v>369</v>
      </c>
      <c r="E48" s="143"/>
      <c r="F48" s="143"/>
      <c r="G48" s="143"/>
      <c r="H48" s="91"/>
      <c r="I48" s="91"/>
      <c r="K48" s="91">
        <v>69896.653153706284</v>
      </c>
      <c r="L48" s="96">
        <v>32794.1582746735</v>
      </c>
      <c r="M48" s="100">
        <v>5814.1784201456521</v>
      </c>
      <c r="N48" s="104">
        <v>29569.758626790819</v>
      </c>
      <c r="O48" s="108">
        <v>1345.4339432071145</v>
      </c>
      <c r="P48" s="112">
        <v>82.171999999999997</v>
      </c>
      <c r="Q48" s="116">
        <v>290.95188888919</v>
      </c>
      <c r="R48" s="124">
        <f>L48*'Entrada de dades'!$B$8*'Entrada de dades'!$B$11</f>
        <v>3065.5979155164791</v>
      </c>
      <c r="S48" s="124">
        <f>M48*'Entrada de dades'!$B$8*'Entrada de dades'!$B$13</f>
        <v>366.75837474278774</v>
      </c>
      <c r="T48" s="124">
        <f>N48*'Entrada de dades'!$B$8*'Entrada de dades'!$B$12</f>
        <v>7146.4192649228062</v>
      </c>
      <c r="U48" s="124">
        <f>O48*'Entrada de dades'!$B$8*'Entrada de dades'!$B$14</f>
        <v>287.33087291131142</v>
      </c>
      <c r="V48" s="124">
        <f>P48*'Entrada de dades'!$B$8*'Entrada de dades'!$B$15</f>
        <v>10.05456592</v>
      </c>
      <c r="W48" s="124">
        <f>Q48*'Entrada de dades'!$B$8*'Entrada de dades'!$B$15</f>
        <v>35.600873124481289</v>
      </c>
      <c r="X48" s="124">
        <f>L48*(1-'Entrada de dades'!$B$8)*'Entrada de dades'!$B$11*('Entrada de dades'!$B$8/(1*(1/'Entrada de dades'!$B$8)))</f>
        <v>559.16505979020576</v>
      </c>
      <c r="Y48" s="124">
        <f>M48*(1-'Entrada de dades'!$B$8)*'Entrada de dades'!$B$13*('Entrada de dades'!$B$8/(1*(1/'Entrada de dades'!$B$8)))</f>
        <v>66.896727553084489</v>
      </c>
      <c r="Z48" s="124">
        <f>N48*(1-'Entrada de dades'!$B$8)*'Entrada de dades'!$B$12*('Entrada de dades'!$B$8/(1*(1/'Entrada de dades'!$B$8)))</f>
        <v>1303.5068739219196</v>
      </c>
      <c r="AA48" s="124">
        <f>O48*(1-'Entrada de dades'!$B$8)*'Entrada de dades'!$B$14*('Entrada de dades'!$B$8/(1*(1/'Entrada de dades'!$B$8)))</f>
        <v>52.409151219023194</v>
      </c>
      <c r="AB48" s="124">
        <f>P48*(1-'Entrada de dades'!$B$8)*'Entrada de dades'!$B$15*('Entrada de dades'!$B$8/(1*(1/'Entrada de dades'!$B$8)))</f>
        <v>1.8339528238080001</v>
      </c>
      <c r="AC48" s="124">
        <f>Q48*(1-'Entrada de dades'!$B$8)*'Entrada de dades'!$B$15*('Entrada de dades'!$B$8/(1*(1/'Entrada de dades'!$B$8)))</f>
        <v>6.4935992579053865</v>
      </c>
      <c r="AD48" s="124">
        <f t="shared" si="74"/>
        <v>3624.7629753066849</v>
      </c>
      <c r="AE48" s="124">
        <f t="shared" si="74"/>
        <v>433.65510229587221</v>
      </c>
      <c r="AF48" s="124">
        <f t="shared" si="74"/>
        <v>8449.9261388447267</v>
      </c>
      <c r="AG48" s="124">
        <f t="shared" si="74"/>
        <v>339.74002413033463</v>
      </c>
      <c r="AH48" s="124">
        <f t="shared" si="74"/>
        <v>11.888518743808</v>
      </c>
      <c r="AI48" s="124">
        <f t="shared" si="74"/>
        <v>42.094472382386677</v>
      </c>
      <c r="AJ48" s="124">
        <f>AD48*('[1]Entrada de dades'!$B$19+'[1]Entrada de dades'!$B$20)</f>
        <v>2174.8577851840114</v>
      </c>
      <c r="AK48" s="124">
        <f>AE48*('[1]Entrada de dades'!$B$19+'[1]Entrada de dades'!$B$20)</f>
        <v>260.19306137752335</v>
      </c>
      <c r="AL48" s="124">
        <f>AF48*('[1]Entrada de dades'!$B$19+'[1]Entrada de dades'!$B$20)</f>
        <v>5069.9556833068364</v>
      </c>
      <c r="AM48" s="124">
        <f>AG48*('[1]Entrada de dades'!$B$19+'[1]Entrada de dades'!$B$20)</f>
        <v>203.84401447820082</v>
      </c>
      <c r="AN48" s="124">
        <f>AH48*('[1]Entrada de dades'!$B$19+'[1]Entrada de dades'!$B$20)</f>
        <v>7.133111246284801</v>
      </c>
      <c r="AO48" s="124">
        <f>AI48*('[1]Entrada de dades'!$B$19+'[1]Entrada de dades'!$B$20)</f>
        <v>25.256683429432009</v>
      </c>
      <c r="AP48" s="124">
        <f t="shared" si="73"/>
        <v>1449.9051901226735</v>
      </c>
      <c r="AQ48" s="124">
        <f t="shared" si="73"/>
        <v>173.46204091834886</v>
      </c>
      <c r="AR48" s="124">
        <f t="shared" si="73"/>
        <v>3379.9704555378903</v>
      </c>
      <c r="AS48" s="124">
        <f t="shared" si="73"/>
        <v>135.89600965213381</v>
      </c>
      <c r="AT48" s="124">
        <f t="shared" si="73"/>
        <v>4.7554074975231986</v>
      </c>
      <c r="AU48" s="124">
        <f t="shared" si="72"/>
        <v>16.837788952954668</v>
      </c>
      <c r="AV48" s="92">
        <f t="shared" si="54"/>
        <v>2783.3104982189911</v>
      </c>
      <c r="AW48" s="92">
        <f t="shared" si="71"/>
        <v>60.841810852110861</v>
      </c>
      <c r="AX48" s="92">
        <f t="shared" si="55"/>
        <v>11292.143294906538</v>
      </c>
      <c r="AY48" s="92">
        <f t="shared" si="56"/>
        <v>3844.5592662632102</v>
      </c>
      <c r="AZ48" s="92">
        <f t="shared" si="57"/>
        <v>160.13763416796911</v>
      </c>
      <c r="BA48" s="92">
        <f t="shared" si="58"/>
        <v>567.01001732240559</v>
      </c>
      <c r="BB48" s="92">
        <f t="shared" si="59"/>
        <v>306.7274429704517</v>
      </c>
      <c r="BC48" s="92">
        <f t="shared" si="60"/>
        <v>36.778289225712925</v>
      </c>
      <c r="BD48" s="92">
        <f t="shared" si="61"/>
        <v>910.39504219913078</v>
      </c>
      <c r="BE48" s="92">
        <f t="shared" si="62"/>
        <v>166.67645583834218</v>
      </c>
      <c r="BF48" s="92">
        <f t="shared" si="63"/>
        <v>6.6147718290547708</v>
      </c>
      <c r="BG48" s="92">
        <f t="shared" si="64"/>
        <v>23.421364433559944</v>
      </c>
      <c r="BH48" s="92">
        <f t="shared" si="65"/>
        <v>602022.16603100765</v>
      </c>
      <c r="BI48" s="92">
        <f t="shared" si="66"/>
        <v>34306.203622667126</v>
      </c>
      <c r="BJ48" s="92">
        <f t="shared" si="67"/>
        <v>1550554.1795415278</v>
      </c>
      <c r="BK48" s="92">
        <f t="shared" si="68"/>
        <v>240579.2811165555</v>
      </c>
      <c r="BL48" s="92">
        <f t="shared" si="69"/>
        <v>9502.1920146311422</v>
      </c>
      <c r="BM48" s="92">
        <f t="shared" si="70"/>
        <v>33645.045943200952</v>
      </c>
    </row>
    <row r="49" spans="1:65" ht="10.5" x14ac:dyDescent="0.25">
      <c r="A49" s="66">
        <v>67458</v>
      </c>
      <c r="B49" s="66" t="s">
        <v>579</v>
      </c>
      <c r="C49" s="66" t="s">
        <v>71</v>
      </c>
      <c r="D49" s="67" t="s">
        <v>373</v>
      </c>
      <c r="E49" s="143"/>
      <c r="F49" s="143"/>
      <c r="G49" s="143"/>
      <c r="H49" s="91"/>
      <c r="I49" s="91"/>
      <c r="K49" s="91">
        <v>93384.303884772176</v>
      </c>
      <c r="L49" s="96">
        <v>43087.338122426743</v>
      </c>
      <c r="M49" s="100">
        <v>7639.0883216052544</v>
      </c>
      <c r="N49" s="104">
        <v>40209.582336327519</v>
      </c>
      <c r="O49" s="108">
        <v>1413.1287328024409</v>
      </c>
      <c r="P49" s="112">
        <v>544.07799999999997</v>
      </c>
      <c r="Q49" s="116">
        <v>491.08837161022996</v>
      </c>
      <c r="R49" s="124">
        <f>L49*'Entrada de dades'!$B$8*'Entrada de dades'!$B$11</f>
        <v>4027.8043676844518</v>
      </c>
      <c r="S49" s="124">
        <f>M49*'Entrada de dades'!$B$8*'Entrada de dades'!$B$13</f>
        <v>481.87369132685944</v>
      </c>
      <c r="T49" s="124">
        <f>N49*'Entrada de dades'!$B$8*'Entrada de dades'!$B$12</f>
        <v>9717.8518590436342</v>
      </c>
      <c r="U49" s="124">
        <f>O49*'Entrada de dades'!$B$8*'Entrada de dades'!$B$14</f>
        <v>301.7877721772893</v>
      </c>
      <c r="V49" s="124">
        <f>P49*'Entrada de dades'!$B$8*'Entrada de dades'!$B$15</f>
        <v>66.573384079999997</v>
      </c>
      <c r="W49" s="124">
        <f>Q49*'Entrada de dades'!$B$8*'Entrada de dades'!$B$15</f>
        <v>60.089573150227736</v>
      </c>
      <c r="X49" s="124">
        <f>L49*(1-'Entrada de dades'!$B$8)*'Entrada de dades'!$B$11*('Entrada de dades'!$B$8/(1*(1/'Entrada de dades'!$B$8)))</f>
        <v>734.67151666564394</v>
      </c>
      <c r="Y49" s="124">
        <f>M49*(1-'Entrada de dades'!$B$8)*'Entrada de dades'!$B$13*('Entrada de dades'!$B$8/(1*(1/'Entrada de dades'!$B$8)))</f>
        <v>87.893761298019157</v>
      </c>
      <c r="Z49" s="124">
        <f>N49*(1-'Entrada de dades'!$B$8)*'Entrada de dades'!$B$12*('Entrada de dades'!$B$8/(1*(1/'Entrada de dades'!$B$8)))</f>
        <v>1772.536179089559</v>
      </c>
      <c r="AA49" s="124">
        <f>O49*(1-'Entrada de dades'!$B$8)*'Entrada de dades'!$B$14*('Entrada de dades'!$B$8/(1*(1/'Entrada de dades'!$B$8)))</f>
        <v>55.04608964513757</v>
      </c>
      <c r="AB49" s="124">
        <f>P49*(1-'Entrada de dades'!$B$8)*'Entrada de dades'!$B$15*('Entrada de dades'!$B$8/(1*(1/'Entrada de dades'!$B$8)))</f>
        <v>12.142985256191999</v>
      </c>
      <c r="AC49" s="124">
        <f>Q49*(1-'Entrada de dades'!$B$8)*'Entrada de dades'!$B$15*('Entrada de dades'!$B$8/(1*(1/'Entrada de dades'!$B$8)))</f>
        <v>10.96033814260154</v>
      </c>
      <c r="AD49" s="124">
        <f t="shared" si="74"/>
        <v>4762.4758843500958</v>
      </c>
      <c r="AE49" s="124">
        <f t="shared" si="74"/>
        <v>569.76745262487862</v>
      </c>
      <c r="AF49" s="124">
        <f t="shared" si="74"/>
        <v>11490.388038133193</v>
      </c>
      <c r="AG49" s="124">
        <f t="shared" si="74"/>
        <v>356.83386182242685</v>
      </c>
      <c r="AH49" s="124">
        <f t="shared" si="74"/>
        <v>78.716369336192002</v>
      </c>
      <c r="AI49" s="124">
        <f t="shared" si="74"/>
        <v>71.049911292829279</v>
      </c>
      <c r="AJ49" s="124">
        <f>AD49*('[1]Entrada de dades'!$B$19+'[1]Entrada de dades'!$B$20)</f>
        <v>2857.485530610058</v>
      </c>
      <c r="AK49" s="124">
        <f>AE49*('[1]Entrada de dades'!$B$19+'[1]Entrada de dades'!$B$20)</f>
        <v>341.8604715749272</v>
      </c>
      <c r="AL49" s="124">
        <f>AF49*('[1]Entrada de dades'!$B$19+'[1]Entrada de dades'!$B$20)</f>
        <v>6894.232822879917</v>
      </c>
      <c r="AM49" s="124">
        <f>AG49*('[1]Entrada de dades'!$B$19+'[1]Entrada de dades'!$B$20)</f>
        <v>214.10031709345614</v>
      </c>
      <c r="AN49" s="124">
        <f>AH49*('[1]Entrada de dades'!$B$19+'[1]Entrada de dades'!$B$20)</f>
        <v>47.229821601715209</v>
      </c>
      <c r="AO49" s="124">
        <f>AI49*('[1]Entrada de dades'!$B$19+'[1]Entrada de dades'!$B$20)</f>
        <v>42.629946775697576</v>
      </c>
      <c r="AP49" s="124">
        <f t="shared" si="73"/>
        <v>1904.9903537400378</v>
      </c>
      <c r="AQ49" s="124">
        <f t="shared" si="73"/>
        <v>227.90698104995141</v>
      </c>
      <c r="AR49" s="124">
        <f t="shared" si="73"/>
        <v>4596.1552152532759</v>
      </c>
      <c r="AS49" s="124">
        <f t="shared" si="73"/>
        <v>142.73354472897071</v>
      </c>
      <c r="AT49" s="124">
        <f t="shared" si="73"/>
        <v>31.486547734476794</v>
      </c>
      <c r="AU49" s="124">
        <f t="shared" si="72"/>
        <v>28.419964517131703</v>
      </c>
      <c r="AV49" s="92">
        <f t="shared" si="54"/>
        <v>3656.9147325570648</v>
      </c>
      <c r="AW49" s="92">
        <f t="shared" si="71"/>
        <v>79.938373603270463</v>
      </c>
      <c r="AX49" s="92">
        <f t="shared" si="55"/>
        <v>15355.294958639675</v>
      </c>
      <c r="AY49" s="92">
        <f t="shared" si="56"/>
        <v>4037.9962104777105</v>
      </c>
      <c r="AZ49" s="92">
        <f t="shared" si="57"/>
        <v>1060.304771976346</v>
      </c>
      <c r="BA49" s="92">
        <f t="shared" si="58"/>
        <v>957.03804211973284</v>
      </c>
      <c r="BB49" s="92">
        <f t="shared" si="59"/>
        <v>403.00070933370512</v>
      </c>
      <c r="BC49" s="92">
        <f t="shared" si="60"/>
        <v>48.321977657115951</v>
      </c>
      <c r="BD49" s="92">
        <f t="shared" si="61"/>
        <v>1237.9744072284702</v>
      </c>
      <c r="BE49" s="92">
        <f t="shared" si="62"/>
        <v>175.06269261008262</v>
      </c>
      <c r="BF49" s="92">
        <f t="shared" si="63"/>
        <v>43.797787898657226</v>
      </c>
      <c r="BG49" s="92">
        <f t="shared" si="64"/>
        <v>39.532170643330211</v>
      </c>
      <c r="BH49" s="92">
        <f t="shared" si="65"/>
        <v>790980.28397961718</v>
      </c>
      <c r="BI49" s="92">
        <f t="shared" si="66"/>
        <v>45073.972712031638</v>
      </c>
      <c r="BJ49" s="92">
        <f t="shared" si="67"/>
        <v>2108476.3232637281</v>
      </c>
      <c r="BK49" s="92">
        <f t="shared" si="68"/>
        <v>252683.89903436953</v>
      </c>
      <c r="BL49" s="92">
        <f t="shared" si="69"/>
        <v>62916.000911946685</v>
      </c>
      <c r="BM49" s="92">
        <f t="shared" si="70"/>
        <v>56788.395112604514</v>
      </c>
    </row>
    <row r="50" spans="1:65" ht="10.5" x14ac:dyDescent="0.25">
      <c r="A50" s="66">
        <v>40274</v>
      </c>
      <c r="B50" s="66" t="s">
        <v>580</v>
      </c>
      <c r="C50" s="66" t="s">
        <v>581</v>
      </c>
      <c r="D50" s="67" t="s">
        <v>582</v>
      </c>
      <c r="E50" s="143"/>
      <c r="F50" s="143"/>
      <c r="G50" s="143"/>
      <c r="H50" s="91"/>
      <c r="I50" s="91"/>
      <c r="K50" s="91">
        <v>92020.988328759049</v>
      </c>
      <c r="L50" s="96">
        <v>53249.663473489811</v>
      </c>
      <c r="M50" s="100">
        <v>9440.798621951064</v>
      </c>
      <c r="N50" s="104">
        <v>28247.409599792951</v>
      </c>
      <c r="O50" s="108">
        <v>1083.1166335252242</v>
      </c>
      <c r="P50" s="112">
        <v>0</v>
      </c>
      <c r="Q50" s="116">
        <v>0</v>
      </c>
      <c r="R50" s="124">
        <f>L50*'Entrada de dades'!$B$8*'Entrada de dades'!$B$11</f>
        <v>4977.778541501827</v>
      </c>
      <c r="S50" s="124">
        <f>M50*'Entrada de dades'!$B$8*'Entrada de dades'!$B$13</f>
        <v>595.52557707267317</v>
      </c>
      <c r="T50" s="124">
        <f>N50*'Entrada de dades'!$B$8*'Entrada de dades'!$B$12</f>
        <v>6826.8339520779609</v>
      </c>
      <c r="U50" s="124">
        <f>O50*'Entrada de dades'!$B$8*'Entrada de dades'!$B$14</f>
        <v>231.31038825564693</v>
      </c>
      <c r="V50" s="124">
        <f>P50*'Entrada de dades'!$B$8*'Entrada de dades'!$B$15</f>
        <v>0</v>
      </c>
      <c r="W50" s="124">
        <f>Q50*'Entrada de dades'!$B$8*'Entrada de dades'!$B$15</f>
        <v>0</v>
      </c>
      <c r="X50" s="124">
        <f>L50*(1-'Entrada de dades'!$B$8)*'Entrada de dades'!$B$11*('Entrada de dades'!$B$8/(1*(1/'Entrada de dades'!$B$8)))</f>
        <v>907.94680596993339</v>
      </c>
      <c r="Y50" s="124">
        <f>M50*(1-'Entrada de dades'!$B$8)*'Entrada de dades'!$B$13*('Entrada de dades'!$B$8/(1*(1/'Entrada de dades'!$B$8)))</f>
        <v>108.62386525805557</v>
      </c>
      <c r="Z50" s="124">
        <f>N50*(1-'Entrada de dades'!$B$8)*'Entrada de dades'!$B$12*('Entrada de dades'!$B$8/(1*(1/'Entrada de dades'!$B$8)))</f>
        <v>1245.21451285902</v>
      </c>
      <c r="AA50" s="124">
        <f>O50*(1-'Entrada de dades'!$B$8)*'Entrada de dades'!$B$14*('Entrada de dades'!$B$8/(1*(1/'Entrada de dades'!$B$8)))</f>
        <v>42.191014817829995</v>
      </c>
      <c r="AB50" s="124">
        <f>P50*(1-'Entrada de dades'!$B$8)*'Entrada de dades'!$B$15*('Entrada de dades'!$B$8/(1*(1/'Entrada de dades'!$B$8)))</f>
        <v>0</v>
      </c>
      <c r="AC50" s="124">
        <f>Q50*(1-'Entrada de dades'!$B$8)*'Entrada de dades'!$B$15*('Entrada de dades'!$B$8/(1*(1/'Entrada de dades'!$B$8)))</f>
        <v>0</v>
      </c>
      <c r="AD50" s="124">
        <f t="shared" si="74"/>
        <v>5885.72534747176</v>
      </c>
      <c r="AE50" s="124">
        <f t="shared" si="74"/>
        <v>704.14944233072879</v>
      </c>
      <c r="AF50" s="124">
        <f t="shared" si="74"/>
        <v>8072.048464936981</v>
      </c>
      <c r="AG50" s="124">
        <f t="shared" si="74"/>
        <v>273.50140307347692</v>
      </c>
      <c r="AH50" s="124">
        <f t="shared" si="74"/>
        <v>0</v>
      </c>
      <c r="AI50" s="124">
        <f t="shared" si="74"/>
        <v>0</v>
      </c>
      <c r="AJ50" s="124">
        <f>AD50*('[1]Entrada de dades'!$B$19+'[1]Entrada de dades'!$B$20)</f>
        <v>3531.4352084830566</v>
      </c>
      <c r="AK50" s="124">
        <f>AE50*('[1]Entrada de dades'!$B$19+'[1]Entrada de dades'!$B$20)</f>
        <v>422.48966539843735</v>
      </c>
      <c r="AL50" s="124">
        <f>AF50*('[1]Entrada de dades'!$B$19+'[1]Entrada de dades'!$B$20)</f>
        <v>4843.2290789621893</v>
      </c>
      <c r="AM50" s="124">
        <f>AG50*('[1]Entrada de dades'!$B$19+'[1]Entrada de dades'!$B$20)</f>
        <v>164.10084184408618</v>
      </c>
      <c r="AN50" s="124">
        <f>AH50*('[1]Entrada de dades'!$B$19+'[1]Entrada de dades'!$B$20)</f>
        <v>0</v>
      </c>
      <c r="AO50" s="124">
        <f>AI50*('[1]Entrada de dades'!$B$19+'[1]Entrada de dades'!$B$20)</f>
        <v>0</v>
      </c>
      <c r="AP50" s="124">
        <f t="shared" si="73"/>
        <v>2354.2901389887033</v>
      </c>
      <c r="AQ50" s="124">
        <f t="shared" si="73"/>
        <v>281.65977693229144</v>
      </c>
      <c r="AR50" s="124">
        <f t="shared" si="73"/>
        <v>3228.8193859747917</v>
      </c>
      <c r="AS50" s="124">
        <f t="shared" si="73"/>
        <v>109.40056122939075</v>
      </c>
      <c r="AT50" s="124">
        <f t="shared" si="73"/>
        <v>0</v>
      </c>
      <c r="AU50" s="124">
        <f t="shared" si="72"/>
        <v>0</v>
      </c>
      <c r="AV50" s="92">
        <f t="shared" si="54"/>
        <v>4519.4130653096654</v>
      </c>
      <c r="AW50" s="92">
        <f t="shared" si="71"/>
        <v>98.792166759001248</v>
      </c>
      <c r="AX50" s="92">
        <f t="shared" si="55"/>
        <v>10787.162686603184</v>
      </c>
      <c r="AY50" s="92">
        <f t="shared" si="56"/>
        <v>3094.991107432018</v>
      </c>
      <c r="AZ50" s="92">
        <f t="shared" si="57"/>
        <v>0</v>
      </c>
      <c r="BA50" s="92">
        <f t="shared" si="58"/>
        <v>0</v>
      </c>
      <c r="BB50" s="92">
        <f t="shared" si="59"/>
        <v>498.05007890306035</v>
      </c>
      <c r="BC50" s="92">
        <f t="shared" si="60"/>
        <v>59.718914204069108</v>
      </c>
      <c r="BD50" s="92">
        <f t="shared" si="61"/>
        <v>869.68250161231038</v>
      </c>
      <c r="BE50" s="92">
        <f t="shared" si="62"/>
        <v>134.17978834784779</v>
      </c>
      <c r="BF50" s="92">
        <f t="shared" si="63"/>
        <v>0</v>
      </c>
      <c r="BG50" s="92">
        <f t="shared" si="64"/>
        <v>0</v>
      </c>
      <c r="BH50" s="92">
        <f t="shared" si="65"/>
        <v>977536.22691667406</v>
      </c>
      <c r="BI50" s="92">
        <f t="shared" si="66"/>
        <v>55704.853976107413</v>
      </c>
      <c r="BJ50" s="92">
        <f t="shared" si="67"/>
        <v>1481213.9513542564</v>
      </c>
      <c r="BK50" s="92">
        <f t="shared" si="68"/>
        <v>193673.88668502582</v>
      </c>
      <c r="BL50" s="92">
        <f t="shared" si="69"/>
        <v>0</v>
      </c>
      <c r="BM50" s="92">
        <f t="shared" si="70"/>
        <v>0</v>
      </c>
    </row>
    <row r="51" spans="1:65" ht="10.5" x14ac:dyDescent="0.25">
      <c r="A51" s="66">
        <v>47043</v>
      </c>
      <c r="B51" s="66" t="s">
        <v>583</v>
      </c>
      <c r="C51" s="66" t="s">
        <v>581</v>
      </c>
      <c r="D51" s="67" t="s">
        <v>584</v>
      </c>
      <c r="E51" s="143"/>
      <c r="F51" s="143"/>
      <c r="G51" s="143"/>
      <c r="H51" s="91"/>
      <c r="I51" s="91"/>
      <c r="K51" s="91">
        <v>94840.452832019961</v>
      </c>
      <c r="L51" s="96">
        <v>48498.179938553556</v>
      </c>
      <c r="M51" s="100">
        <v>8598.3933130202058</v>
      </c>
      <c r="N51" s="104">
        <v>36364.598242441411</v>
      </c>
      <c r="O51" s="108">
        <v>1379.2813380047776</v>
      </c>
      <c r="P51" s="112">
        <v>0</v>
      </c>
      <c r="Q51" s="116">
        <v>0</v>
      </c>
      <c r="R51" s="124">
        <f>L51*'Entrada de dades'!$B$8*'Entrada de dades'!$B$11</f>
        <v>4533.6098606559863</v>
      </c>
      <c r="S51" s="124">
        <f>M51*'Entrada de dades'!$B$8*'Entrada de dades'!$B$13</f>
        <v>542.38665018531458</v>
      </c>
      <c r="T51" s="124">
        <f>N51*'Entrada de dades'!$B$8*'Entrada de dades'!$B$12</f>
        <v>8788.5961032332416</v>
      </c>
      <c r="U51" s="124">
        <f>O51*'Entrada de dades'!$B$8*'Entrada de dades'!$B$14</f>
        <v>294.5593225443003</v>
      </c>
      <c r="V51" s="124">
        <f>P51*'Entrada de dades'!$B$8*'Entrada de dades'!$B$15</f>
        <v>0</v>
      </c>
      <c r="W51" s="124">
        <f>Q51*'Entrada de dades'!$B$8*'Entrada de dades'!$B$15</f>
        <v>0</v>
      </c>
      <c r="X51" s="124">
        <f>L51*(1-'Entrada de dades'!$B$8)*'Entrada de dades'!$B$11*('Entrada de dades'!$B$8/(1*(1/'Entrada de dades'!$B$8)))</f>
        <v>826.93043858365183</v>
      </c>
      <c r="Y51" s="124">
        <f>M51*(1-'Entrada de dades'!$B$8)*'Entrada de dades'!$B$13*('Entrada de dades'!$B$8/(1*(1/'Entrada de dades'!$B$8)))</f>
        <v>98.931324993801368</v>
      </c>
      <c r="Z51" s="124">
        <f>N51*(1-'Entrada de dades'!$B$8)*'Entrada de dades'!$B$12*('Entrada de dades'!$B$8/(1*(1/'Entrada de dades'!$B$8)))</f>
        <v>1603.0399292297432</v>
      </c>
      <c r="AA51" s="124">
        <f>O51*(1-'Entrada de dades'!$B$8)*'Entrada de dades'!$B$14*('Entrada de dades'!$B$8/(1*(1/'Entrada de dades'!$B$8)))</f>
        <v>53.727620432080379</v>
      </c>
      <c r="AB51" s="124">
        <f>P51*(1-'Entrada de dades'!$B$8)*'Entrada de dades'!$B$15*('Entrada de dades'!$B$8/(1*(1/'Entrada de dades'!$B$8)))</f>
        <v>0</v>
      </c>
      <c r="AC51" s="124">
        <f>Q51*(1-'Entrada de dades'!$B$8)*'Entrada de dades'!$B$15*('Entrada de dades'!$B$8/(1*(1/'Entrada de dades'!$B$8)))</f>
        <v>0</v>
      </c>
      <c r="AD51" s="124">
        <f t="shared" si="74"/>
        <v>5360.5402992396384</v>
      </c>
      <c r="AE51" s="124">
        <f t="shared" si="74"/>
        <v>641.31797517911593</v>
      </c>
      <c r="AF51" s="124">
        <f t="shared" si="74"/>
        <v>10391.636032462984</v>
      </c>
      <c r="AG51" s="124">
        <f t="shared" si="74"/>
        <v>348.28694297638066</v>
      </c>
      <c r="AH51" s="124">
        <f t="shared" si="74"/>
        <v>0</v>
      </c>
      <c r="AI51" s="124">
        <f t="shared" si="74"/>
        <v>0</v>
      </c>
      <c r="AJ51" s="124">
        <f>AD51*('[1]Entrada de dades'!$B$19+'[1]Entrada de dades'!$B$20)</f>
        <v>3216.3241795437834</v>
      </c>
      <c r="AK51" s="124">
        <f>AE51*('[1]Entrada de dades'!$B$19+'[1]Entrada de dades'!$B$20)</f>
        <v>384.79078510746962</v>
      </c>
      <c r="AL51" s="124">
        <f>AF51*('[1]Entrada de dades'!$B$19+'[1]Entrada de dades'!$B$20)</f>
        <v>6234.9816194777914</v>
      </c>
      <c r="AM51" s="124">
        <f>AG51*('[1]Entrada de dades'!$B$19+'[1]Entrada de dades'!$B$20)</f>
        <v>208.97216578582842</v>
      </c>
      <c r="AN51" s="124">
        <f>AH51*('[1]Entrada de dades'!$B$19+'[1]Entrada de dades'!$B$20)</f>
        <v>0</v>
      </c>
      <c r="AO51" s="124">
        <f>AI51*('[1]Entrada de dades'!$B$19+'[1]Entrada de dades'!$B$20)</f>
        <v>0</v>
      </c>
      <c r="AP51" s="124">
        <f t="shared" si="73"/>
        <v>2144.216119695855</v>
      </c>
      <c r="AQ51" s="124">
        <f t="shared" si="73"/>
        <v>256.52719007164632</v>
      </c>
      <c r="AR51" s="124">
        <f t="shared" si="73"/>
        <v>4156.6544129851927</v>
      </c>
      <c r="AS51" s="124">
        <f t="shared" si="73"/>
        <v>139.31477719055223</v>
      </c>
      <c r="AT51" s="124">
        <f t="shared" si="73"/>
        <v>0</v>
      </c>
      <c r="AU51" s="124">
        <f t="shared" si="72"/>
        <v>0</v>
      </c>
      <c r="AV51" s="92">
        <f t="shared" si="54"/>
        <v>4116.1444741741489</v>
      </c>
      <c r="AW51" s="92">
        <f t="shared" si="71"/>
        <v>89.976911917629948</v>
      </c>
      <c r="AX51" s="92">
        <f t="shared" si="55"/>
        <v>13886.966728342235</v>
      </c>
      <c r="AY51" s="92">
        <f t="shared" si="56"/>
        <v>3941.2777383704592</v>
      </c>
      <c r="AZ51" s="92">
        <f t="shared" si="57"/>
        <v>0</v>
      </c>
      <c r="BA51" s="92">
        <f t="shared" si="58"/>
        <v>0</v>
      </c>
      <c r="BB51" s="92">
        <f t="shared" si="59"/>
        <v>453.60892012165817</v>
      </c>
      <c r="BC51" s="92">
        <f t="shared" si="60"/>
        <v>54.390177474940828</v>
      </c>
      <c r="BD51" s="92">
        <f t="shared" si="61"/>
        <v>1119.5948661375619</v>
      </c>
      <c r="BE51" s="92">
        <f t="shared" si="62"/>
        <v>170.86957422421236</v>
      </c>
      <c r="BF51" s="92">
        <f t="shared" si="63"/>
        <v>0</v>
      </c>
      <c r="BG51" s="92">
        <f t="shared" si="64"/>
        <v>0</v>
      </c>
      <c r="BH51" s="92">
        <f t="shared" si="65"/>
        <v>890310.37450709683</v>
      </c>
      <c r="BI51" s="92">
        <f t="shared" si="66"/>
        <v>50734.293051994267</v>
      </c>
      <c r="BJ51" s="92">
        <f t="shared" si="67"/>
        <v>1906856.2751499698</v>
      </c>
      <c r="BK51" s="92">
        <f t="shared" si="68"/>
        <v>246631.59007546245</v>
      </c>
      <c r="BL51" s="92">
        <f t="shared" si="69"/>
        <v>0</v>
      </c>
      <c r="BM51" s="92">
        <f t="shared" si="70"/>
        <v>0</v>
      </c>
    </row>
    <row r="52" spans="1:65" ht="10.5" x14ac:dyDescent="0.25">
      <c r="A52" s="66">
        <v>101932</v>
      </c>
      <c r="B52" s="66" t="s">
        <v>585</v>
      </c>
      <c r="C52" s="66" t="s">
        <v>581</v>
      </c>
      <c r="D52" s="67" t="s">
        <v>581</v>
      </c>
      <c r="E52" s="143"/>
      <c r="F52" s="143"/>
      <c r="G52" s="143"/>
      <c r="H52" s="91"/>
      <c r="I52" s="91"/>
      <c r="K52" s="91">
        <v>276864.18293684005</v>
      </c>
      <c r="L52" s="96">
        <v>163861.90921259442</v>
      </c>
      <c r="M52" s="100">
        <v>29051.588043456741</v>
      </c>
      <c r="N52" s="104">
        <v>78333.921976235331</v>
      </c>
      <c r="O52" s="108">
        <v>3342.4302362692465</v>
      </c>
      <c r="P52" s="112">
        <v>1528.748207197892</v>
      </c>
      <c r="Q52" s="116">
        <v>745.58526108644344</v>
      </c>
      <c r="R52" s="124">
        <f>L52*'Entrada de dades'!$B$8*'Entrada de dades'!$B$11</f>
        <v>15317.811273193327</v>
      </c>
      <c r="S52" s="124">
        <f>M52*'Entrada de dades'!$B$8*'Entrada de dades'!$B$13</f>
        <v>1832.5741737812514</v>
      </c>
      <c r="T52" s="124">
        <f>N52*'Entrada de dades'!$B$8*'Entrada de dades'!$B$12</f>
        <v>18931.742263216554</v>
      </c>
      <c r="U52" s="124">
        <f>O52*'Entrada de dades'!$B$8*'Entrada de dades'!$B$14</f>
        <v>713.8094012576604</v>
      </c>
      <c r="V52" s="124">
        <f>P52*'Entrada de dades'!$B$8*'Entrada de dades'!$B$15</f>
        <v>187.05763063273409</v>
      </c>
      <c r="W52" s="124">
        <f>Q52*'Entrada de dades'!$B$8*'Entrada de dades'!$B$15</f>
        <v>91.229812546537218</v>
      </c>
      <c r="X52" s="124">
        <f>L52*(1-'Entrada de dades'!$B$8)*'Entrada de dades'!$B$11*('Entrada de dades'!$B$8/(1*(1/'Entrada de dades'!$B$8)))</f>
        <v>2793.9687762304625</v>
      </c>
      <c r="Y52" s="124">
        <f>M52*(1-'Entrada de dades'!$B$8)*'Entrada de dades'!$B$13*('Entrada de dades'!$B$8/(1*(1/'Entrada de dades'!$B$8)))</f>
        <v>334.26152929770024</v>
      </c>
      <c r="Z52" s="124">
        <f>N52*(1-'Entrada de dades'!$B$8)*'Entrada de dades'!$B$12*('Entrada de dades'!$B$8/(1*(1/'Entrada de dades'!$B$8)))</f>
        <v>3453.1497888106996</v>
      </c>
      <c r="AA52" s="124">
        <f>O52*(1-'Entrada de dades'!$B$8)*'Entrada de dades'!$B$14*('Entrada de dades'!$B$8/(1*(1/'Entrada de dades'!$B$8)))</f>
        <v>130.19883478939724</v>
      </c>
      <c r="AB52" s="124">
        <f>P52*(1-'Entrada de dades'!$B$8)*'Entrada de dades'!$B$15*('Entrada de dades'!$B$8/(1*(1/'Entrada de dades'!$B$8)))</f>
        <v>34.119311827410691</v>
      </c>
      <c r="AC52" s="124">
        <f>Q52*(1-'Entrada de dades'!$B$8)*'Entrada de dades'!$B$15*('Entrada de dades'!$B$8/(1*(1/'Entrada de dades'!$B$8)))</f>
        <v>16.640317808488387</v>
      </c>
      <c r="AD52" s="124">
        <f t="shared" si="74"/>
        <v>18111.780049423789</v>
      </c>
      <c r="AE52" s="124">
        <f t="shared" si="74"/>
        <v>2166.8357030789516</v>
      </c>
      <c r="AF52" s="124">
        <f t="shared" si="74"/>
        <v>22384.892052027255</v>
      </c>
      <c r="AG52" s="124">
        <f t="shared" si="74"/>
        <v>844.00823604705761</v>
      </c>
      <c r="AH52" s="124">
        <f t="shared" si="74"/>
        <v>221.17694246014477</v>
      </c>
      <c r="AI52" s="124">
        <f t="shared" si="74"/>
        <v>107.87013035502561</v>
      </c>
      <c r="AJ52" s="124">
        <f>AD52*('[1]Entrada de dades'!$B$19+'[1]Entrada de dades'!$B$20)</f>
        <v>10867.068029654274</v>
      </c>
      <c r="AK52" s="124">
        <f>AE52*('[1]Entrada de dades'!$B$19+'[1]Entrada de dades'!$B$20)</f>
        <v>1300.1014218473711</v>
      </c>
      <c r="AL52" s="124">
        <f>AF52*('[1]Entrada de dades'!$B$19+'[1]Entrada de dades'!$B$20)</f>
        <v>13430.935231216356</v>
      </c>
      <c r="AM52" s="124">
        <f>AG52*('[1]Entrada de dades'!$B$19+'[1]Entrada de dades'!$B$20)</f>
        <v>506.40494162823467</v>
      </c>
      <c r="AN52" s="124">
        <f>AH52*('[1]Entrada de dades'!$B$19+'[1]Entrada de dades'!$B$20)</f>
        <v>132.70616547608688</v>
      </c>
      <c r="AO52" s="124">
        <f>AI52*('[1]Entrada de dades'!$B$19+'[1]Entrada de dades'!$B$20)</f>
        <v>64.722078213015379</v>
      </c>
      <c r="AP52" s="124">
        <f t="shared" si="73"/>
        <v>7244.7120197695149</v>
      </c>
      <c r="AQ52" s="124">
        <f t="shared" si="73"/>
        <v>866.73428123158055</v>
      </c>
      <c r="AR52" s="124">
        <f t="shared" si="73"/>
        <v>8953.9568208108994</v>
      </c>
      <c r="AS52" s="124">
        <f t="shared" si="73"/>
        <v>337.60329441882294</v>
      </c>
      <c r="AT52" s="124">
        <f t="shared" si="73"/>
        <v>88.470776984057892</v>
      </c>
      <c r="AU52" s="124">
        <f t="shared" si="72"/>
        <v>43.148052142010229</v>
      </c>
      <c r="AV52" s="92">
        <f t="shared" si="54"/>
        <v>13907.31142875055</v>
      </c>
      <c r="AW52" s="92">
        <f t="shared" si="71"/>
        <v>304.00704914197684</v>
      </c>
      <c r="AX52" s="92">
        <f t="shared" si="55"/>
        <v>29914.274342647146</v>
      </c>
      <c r="AY52" s="92">
        <f t="shared" si="56"/>
        <v>9550.9491205909926</v>
      </c>
      <c r="AZ52" s="92">
        <f t="shared" si="57"/>
        <v>2979.2401443216022</v>
      </c>
      <c r="BA52" s="92">
        <f t="shared" si="58"/>
        <v>1453.0041836743735</v>
      </c>
      <c r="BB52" s="92">
        <f t="shared" si="59"/>
        <v>1532.6188277822412</v>
      </c>
      <c r="BC52" s="92">
        <f t="shared" si="60"/>
        <v>183.76933597812589</v>
      </c>
      <c r="BD52" s="92">
        <f t="shared" si="61"/>
        <v>2411.7482696854167</v>
      </c>
      <c r="BE52" s="92">
        <f t="shared" si="62"/>
        <v>414.0704406046865</v>
      </c>
      <c r="BF52" s="92">
        <f t="shared" si="63"/>
        <v>123.06285078482455</v>
      </c>
      <c r="BG52" s="92">
        <f t="shared" si="64"/>
        <v>60.018940529536245</v>
      </c>
      <c r="BH52" s="92">
        <f t="shared" si="65"/>
        <v>3008112.0145817967</v>
      </c>
      <c r="BI52" s="92">
        <f t="shared" si="66"/>
        <v>171417.11570586811</v>
      </c>
      <c r="BJ52" s="92">
        <f t="shared" si="67"/>
        <v>4107608.4405398369</v>
      </c>
      <c r="BK52" s="92">
        <f t="shared" si="68"/>
        <v>597665.50969207182</v>
      </c>
      <c r="BL52" s="92">
        <f t="shared" si="69"/>
        <v>176781.12990821066</v>
      </c>
      <c r="BM52" s="92">
        <f t="shared" si="70"/>
        <v>86217.863921071388</v>
      </c>
    </row>
    <row r="53" spans="1:65" ht="10.5" x14ac:dyDescent="0.25">
      <c r="A53" s="66">
        <v>38402</v>
      </c>
      <c r="B53" s="66" t="s">
        <v>586</v>
      </c>
      <c r="C53" s="66" t="s">
        <v>581</v>
      </c>
      <c r="D53" s="67" t="s">
        <v>587</v>
      </c>
      <c r="E53" s="143"/>
      <c r="F53" s="143"/>
      <c r="G53" s="143"/>
      <c r="H53" s="91"/>
      <c r="I53" s="91"/>
      <c r="K53" s="91">
        <v>91370.30423265844</v>
      </c>
      <c r="L53" s="96">
        <v>52492.812028962093</v>
      </c>
      <c r="M53" s="100">
        <v>9306.6140730087718</v>
      </c>
      <c r="N53" s="104">
        <v>28267.753430977529</v>
      </c>
      <c r="O53" s="108">
        <v>1303.1246997100352</v>
      </c>
      <c r="P53" s="112">
        <v>0</v>
      </c>
      <c r="Q53" s="116">
        <v>0</v>
      </c>
      <c r="R53" s="124">
        <f>L53*'Entrada de dades'!$B$8*'Entrada de dades'!$B$11</f>
        <v>4907.0280684673762</v>
      </c>
      <c r="S53" s="124">
        <f>M53*'Entrada de dades'!$B$8*'Entrada de dades'!$B$13</f>
        <v>587.06121572539337</v>
      </c>
      <c r="T53" s="124">
        <f>N53*'Entrada de dades'!$B$8*'Entrada de dades'!$B$12</f>
        <v>6831.7506491986487</v>
      </c>
      <c r="U53" s="124">
        <f>O53*'Entrada de dades'!$B$8*'Entrada de dades'!$B$14</f>
        <v>278.29531087007513</v>
      </c>
      <c r="V53" s="124">
        <f>P53*'Entrada de dades'!$B$8*'Entrada de dades'!$B$15</f>
        <v>0</v>
      </c>
      <c r="W53" s="124">
        <f>Q53*'Entrada de dades'!$B$8*'Entrada de dades'!$B$15</f>
        <v>0</v>
      </c>
      <c r="X53" s="124">
        <f>L53*(1-'Entrada de dades'!$B$8)*'Entrada de dades'!$B$11*('Entrada de dades'!$B$8/(1*(1/'Entrada de dades'!$B$8)))</f>
        <v>895.04191968844941</v>
      </c>
      <c r="Y53" s="124">
        <f>M53*(1-'Entrada de dades'!$B$8)*'Entrada de dades'!$B$13*('Entrada de dades'!$B$8/(1*(1/'Entrada de dades'!$B$8)))</f>
        <v>107.07996574831175</v>
      </c>
      <c r="Z53" s="124">
        <f>N53*(1-'Entrada de dades'!$B$8)*'Entrada de dades'!$B$12*('Entrada de dades'!$B$8/(1*(1/'Entrada de dades'!$B$8)))</f>
        <v>1246.1113184138337</v>
      </c>
      <c r="AA53" s="124">
        <f>O53*(1-'Entrada de dades'!$B$8)*'Entrada de dades'!$B$14*('Entrada de dades'!$B$8/(1*(1/'Entrada de dades'!$B$8)))</f>
        <v>50.761064702701702</v>
      </c>
      <c r="AB53" s="124">
        <f>P53*(1-'Entrada de dades'!$B$8)*'Entrada de dades'!$B$15*('Entrada de dades'!$B$8/(1*(1/'Entrada de dades'!$B$8)))</f>
        <v>0</v>
      </c>
      <c r="AC53" s="124">
        <f>Q53*(1-'Entrada de dades'!$B$8)*'Entrada de dades'!$B$15*('Entrada de dades'!$B$8/(1*(1/'Entrada de dades'!$B$8)))</f>
        <v>0</v>
      </c>
      <c r="AD53" s="124">
        <f t="shared" si="74"/>
        <v>5802.0699881558257</v>
      </c>
      <c r="AE53" s="124">
        <f t="shared" si="74"/>
        <v>694.14118147370516</v>
      </c>
      <c r="AF53" s="124">
        <f t="shared" si="74"/>
        <v>8077.8619676124827</v>
      </c>
      <c r="AG53" s="124">
        <f t="shared" si="74"/>
        <v>329.0563755727768</v>
      </c>
      <c r="AH53" s="124">
        <f t="shared" si="74"/>
        <v>0</v>
      </c>
      <c r="AI53" s="124">
        <f t="shared" si="74"/>
        <v>0</v>
      </c>
      <c r="AJ53" s="124">
        <f>AD53*('[1]Entrada de dades'!$B$19+'[1]Entrada de dades'!$B$20)</f>
        <v>3481.241992893496</v>
      </c>
      <c r="AK53" s="124">
        <f>AE53*('[1]Entrada de dades'!$B$19+'[1]Entrada de dades'!$B$20)</f>
        <v>416.48470888422315</v>
      </c>
      <c r="AL53" s="124">
        <f>AF53*('[1]Entrada de dades'!$B$19+'[1]Entrada de dades'!$B$20)</f>
        <v>4846.7171805674907</v>
      </c>
      <c r="AM53" s="124">
        <f>AG53*('[1]Entrada de dades'!$B$19+'[1]Entrada de dades'!$B$20)</f>
        <v>197.43382534366611</v>
      </c>
      <c r="AN53" s="124">
        <f>AH53*('[1]Entrada de dades'!$B$19+'[1]Entrada de dades'!$B$20)</f>
        <v>0</v>
      </c>
      <c r="AO53" s="124">
        <f>AI53*('[1]Entrada de dades'!$B$19+'[1]Entrada de dades'!$B$20)</f>
        <v>0</v>
      </c>
      <c r="AP53" s="124">
        <f t="shared" si="73"/>
        <v>2320.8279952623298</v>
      </c>
      <c r="AQ53" s="124">
        <f t="shared" si="73"/>
        <v>277.65647258948201</v>
      </c>
      <c r="AR53" s="124">
        <f t="shared" si="73"/>
        <v>3231.144787044992</v>
      </c>
      <c r="AS53" s="124">
        <f t="shared" si="73"/>
        <v>131.62255022911069</v>
      </c>
      <c r="AT53" s="124">
        <f t="shared" si="73"/>
        <v>0</v>
      </c>
      <c r="AU53" s="124">
        <f t="shared" si="72"/>
        <v>0</v>
      </c>
      <c r="AV53" s="92">
        <f t="shared" si="54"/>
        <v>4455.1774611053324</v>
      </c>
      <c r="AW53" s="92">
        <f t="shared" si="71"/>
        <v>97.388007760760814</v>
      </c>
      <c r="AX53" s="92">
        <f t="shared" si="55"/>
        <v>10794.931619038618</v>
      </c>
      <c r="AY53" s="92">
        <f t="shared" si="56"/>
        <v>3723.6611761291451</v>
      </c>
      <c r="AZ53" s="92">
        <f t="shared" si="57"/>
        <v>0</v>
      </c>
      <c r="BA53" s="92">
        <f t="shared" si="58"/>
        <v>0</v>
      </c>
      <c r="BB53" s="92">
        <f t="shared" si="59"/>
        <v>490.97116239774596</v>
      </c>
      <c r="BC53" s="92">
        <f t="shared" si="60"/>
        <v>58.870113600784933</v>
      </c>
      <c r="BD53" s="92">
        <f t="shared" si="61"/>
        <v>870.30884839056898</v>
      </c>
      <c r="BE53" s="92">
        <f t="shared" si="62"/>
        <v>161.43505785600431</v>
      </c>
      <c r="BF53" s="92">
        <f t="shared" si="63"/>
        <v>0</v>
      </c>
      <c r="BG53" s="92">
        <f t="shared" si="64"/>
        <v>0</v>
      </c>
      <c r="BH53" s="92">
        <f t="shared" si="65"/>
        <v>963642.24792864942</v>
      </c>
      <c r="BI53" s="92">
        <f t="shared" si="66"/>
        <v>54913.106264499569</v>
      </c>
      <c r="BJ53" s="92">
        <f t="shared" si="67"/>
        <v>1482280.7240955986</v>
      </c>
      <c r="BK53" s="92">
        <f t="shared" si="68"/>
        <v>233013.8949179216</v>
      </c>
      <c r="BL53" s="92">
        <f t="shared" si="69"/>
        <v>0</v>
      </c>
      <c r="BM53" s="92">
        <f t="shared" si="70"/>
        <v>0</v>
      </c>
    </row>
    <row r="54" spans="1:65" ht="10.5" x14ac:dyDescent="0.25">
      <c r="A54" s="66">
        <v>23046</v>
      </c>
      <c r="B54" s="66" t="s">
        <v>588</v>
      </c>
      <c r="C54" s="66" t="s">
        <v>581</v>
      </c>
      <c r="D54" s="67" t="s">
        <v>589</v>
      </c>
      <c r="E54" s="143"/>
      <c r="F54" s="143"/>
      <c r="G54" s="143"/>
      <c r="H54" s="91"/>
      <c r="I54" s="91"/>
      <c r="K54" s="91">
        <v>62122.57150429381</v>
      </c>
      <c r="L54" s="96">
        <v>29890.996945494804</v>
      </c>
      <c r="M54" s="100">
        <v>5299.4679095438914</v>
      </c>
      <c r="N54" s="104">
        <v>26111.307325411773</v>
      </c>
      <c r="O54" s="108">
        <v>820.79932384333404</v>
      </c>
      <c r="P54" s="112">
        <v>0</v>
      </c>
      <c r="Q54" s="116">
        <v>0</v>
      </c>
      <c r="R54" s="124">
        <f>L54*'Entrada de dades'!$B$8*'Entrada de dades'!$B$11</f>
        <v>2794.2103944648543</v>
      </c>
      <c r="S54" s="124">
        <f>M54*'Entrada de dades'!$B$8*'Entrada de dades'!$B$13</f>
        <v>334.29043573402868</v>
      </c>
      <c r="T54" s="124">
        <f>N54*'Entrada de dades'!$B$8*'Entrada de dades'!$B$12</f>
        <v>6310.5807544055178</v>
      </c>
      <c r="U54" s="124">
        <f>O54*'Entrada de dades'!$B$8*'Entrada de dades'!$B$14</f>
        <v>175.28990359998244</v>
      </c>
      <c r="V54" s="124">
        <f>P54*'Entrada de dades'!$B$8*'Entrada de dades'!$B$15</f>
        <v>0</v>
      </c>
      <c r="W54" s="124">
        <f>Q54*'Entrada de dades'!$B$8*'Entrada de dades'!$B$15</f>
        <v>0</v>
      </c>
      <c r="X54" s="124">
        <f>L54*(1-'Entrada de dades'!$B$8)*'Entrada de dades'!$B$11*('Entrada de dades'!$B$8/(1*(1/'Entrada de dades'!$B$8)))</f>
        <v>509.66397595038933</v>
      </c>
      <c r="Y54" s="124">
        <f>M54*(1-'Entrada de dades'!$B$8)*'Entrada de dades'!$B$13*('Entrada de dades'!$B$8/(1*(1/'Entrada de dades'!$B$8)))</f>
        <v>60.97457547788683</v>
      </c>
      <c r="Z54" s="124">
        <f>N54*(1-'Entrada de dades'!$B$8)*'Entrada de dades'!$B$12*('Entrada de dades'!$B$8/(1*(1/'Entrada de dades'!$B$8)))</f>
        <v>1151.0499296035664</v>
      </c>
      <c r="AA54" s="124">
        <f>O54*(1-'Entrada de dades'!$B$8)*'Entrada de dades'!$B$14*('Entrada de dades'!$B$8/(1*(1/'Entrada de dades'!$B$8)))</f>
        <v>31.972878416636792</v>
      </c>
      <c r="AB54" s="124">
        <f>P54*(1-'Entrada de dades'!$B$8)*'Entrada de dades'!$B$15*('Entrada de dades'!$B$8/(1*(1/'Entrada de dades'!$B$8)))</f>
        <v>0</v>
      </c>
      <c r="AC54" s="124">
        <f>Q54*(1-'Entrada de dades'!$B$8)*'Entrada de dades'!$B$15*('Entrada de dades'!$B$8/(1*(1/'Entrada de dades'!$B$8)))</f>
        <v>0</v>
      </c>
      <c r="AD54" s="124">
        <f t="shared" si="74"/>
        <v>3303.8743704152434</v>
      </c>
      <c r="AE54" s="124">
        <f t="shared" si="74"/>
        <v>395.26501121191552</v>
      </c>
      <c r="AF54" s="124">
        <f t="shared" si="74"/>
        <v>7461.6306840090838</v>
      </c>
      <c r="AG54" s="124">
        <f t="shared" si="74"/>
        <v>207.26278201661924</v>
      </c>
      <c r="AH54" s="124">
        <f t="shared" si="74"/>
        <v>0</v>
      </c>
      <c r="AI54" s="124">
        <f t="shared" si="74"/>
        <v>0</v>
      </c>
      <c r="AJ54" s="124">
        <f>AD54*('[1]Entrada de dades'!$B$19+'[1]Entrada de dades'!$B$20)</f>
        <v>1982.3246222491464</v>
      </c>
      <c r="AK54" s="124">
        <f>AE54*('[1]Entrada de dades'!$B$19+'[1]Entrada de dades'!$B$20)</f>
        <v>237.15900672714935</v>
      </c>
      <c r="AL54" s="124">
        <f>AF54*('[1]Entrada de dades'!$B$19+'[1]Entrada de dades'!$B$20)</f>
        <v>4476.9784104054506</v>
      </c>
      <c r="AM54" s="124">
        <f>AG54*('[1]Entrada de dades'!$B$19+'[1]Entrada de dades'!$B$20)</f>
        <v>124.35766920997156</v>
      </c>
      <c r="AN54" s="124">
        <f>AH54*('[1]Entrada de dades'!$B$19+'[1]Entrada de dades'!$B$20)</f>
        <v>0</v>
      </c>
      <c r="AO54" s="124">
        <f>AI54*('[1]Entrada de dades'!$B$19+'[1]Entrada de dades'!$B$20)</f>
        <v>0</v>
      </c>
      <c r="AP54" s="124">
        <f t="shared" si="73"/>
        <v>1321.5497481660971</v>
      </c>
      <c r="AQ54" s="124">
        <f t="shared" si="73"/>
        <v>158.10600448476617</v>
      </c>
      <c r="AR54" s="124">
        <f t="shared" si="73"/>
        <v>2984.6522736036331</v>
      </c>
      <c r="AS54" s="124">
        <f t="shared" si="73"/>
        <v>82.905112806647679</v>
      </c>
      <c r="AT54" s="124">
        <f t="shared" si="73"/>
        <v>0</v>
      </c>
      <c r="AU54" s="124">
        <f t="shared" si="72"/>
        <v>0</v>
      </c>
      <c r="AV54" s="92">
        <f t="shared" si="54"/>
        <v>2536.9129740670487</v>
      </c>
      <c r="AW54" s="92">
        <f t="shared" si="71"/>
        <v>55.455681073031741</v>
      </c>
      <c r="AX54" s="92">
        <f t="shared" si="55"/>
        <v>9971.4247808823784</v>
      </c>
      <c r="AY54" s="92">
        <f t="shared" si="56"/>
        <v>2345.4229486008262</v>
      </c>
      <c r="AZ54" s="92">
        <f t="shared" si="57"/>
        <v>0</v>
      </c>
      <c r="BA54" s="92">
        <f t="shared" si="58"/>
        <v>0</v>
      </c>
      <c r="BB54" s="92">
        <f t="shared" si="59"/>
        <v>279.57384922453792</v>
      </c>
      <c r="BC54" s="92">
        <f t="shared" si="60"/>
        <v>33.522425600882556</v>
      </c>
      <c r="BD54" s="92">
        <f t="shared" si="61"/>
        <v>803.91608989513861</v>
      </c>
      <c r="BE54" s="92">
        <f t="shared" si="62"/>
        <v>101.6831208573534</v>
      </c>
      <c r="BF54" s="92">
        <f t="shared" si="63"/>
        <v>0</v>
      </c>
      <c r="BG54" s="92">
        <f t="shared" si="64"/>
        <v>0</v>
      </c>
      <c r="BH54" s="92">
        <f t="shared" si="65"/>
        <v>548727.08045232401</v>
      </c>
      <c r="BI54" s="92">
        <f t="shared" si="66"/>
        <v>31269.185783268138</v>
      </c>
      <c r="BJ54" s="92">
        <f t="shared" si="67"/>
        <v>1369202.8135132785</v>
      </c>
      <c r="BK54" s="92">
        <f t="shared" si="68"/>
        <v>146768.49225349611</v>
      </c>
      <c r="BL54" s="92">
        <f t="shared" si="69"/>
        <v>0</v>
      </c>
      <c r="BM54" s="92">
        <f t="shared" si="70"/>
        <v>0</v>
      </c>
    </row>
    <row r="55" spans="1:65" ht="10.5" x14ac:dyDescent="0.25">
      <c r="A55" s="66">
        <v>32230</v>
      </c>
      <c r="B55" s="66" t="s">
        <v>590</v>
      </c>
      <c r="C55" s="66" t="s">
        <v>581</v>
      </c>
      <c r="D55" s="67" t="s">
        <v>591</v>
      </c>
      <c r="E55" s="143"/>
      <c r="F55" s="143"/>
      <c r="G55" s="143"/>
      <c r="H55" s="91"/>
      <c r="I55" s="91"/>
      <c r="K55" s="91">
        <v>78012.151160417401</v>
      </c>
      <c r="L55" s="96">
        <v>47681.902161692378</v>
      </c>
      <c r="M55" s="100">
        <v>8453.6728846036622</v>
      </c>
      <c r="N55" s="104">
        <v>21005.005698081543</v>
      </c>
      <c r="O55" s="108">
        <v>871.57041603982884</v>
      </c>
      <c r="P55" s="112">
        <v>0</v>
      </c>
      <c r="Q55" s="116">
        <v>0</v>
      </c>
      <c r="R55" s="124">
        <f>L55*'Entrada de dades'!$B$8*'Entrada de dades'!$B$11</f>
        <v>4457.3042140750031</v>
      </c>
      <c r="S55" s="124">
        <f>M55*'Entrada de dades'!$B$8*'Entrada de dades'!$B$13</f>
        <v>533.25768556079902</v>
      </c>
      <c r="T55" s="124">
        <f>N55*'Entrada de dades'!$B$8*'Entrada de dades'!$B$12</f>
        <v>5076.4897771123469</v>
      </c>
      <c r="U55" s="124">
        <f>O55*'Entrada de dades'!$B$8*'Entrada de dades'!$B$14</f>
        <v>186.13257804946585</v>
      </c>
      <c r="V55" s="124">
        <f>P55*'Entrada de dades'!$B$8*'Entrada de dades'!$B$15</f>
        <v>0</v>
      </c>
      <c r="W55" s="124">
        <f>Q55*'Entrada de dades'!$B$8*'Entrada de dades'!$B$15</f>
        <v>0</v>
      </c>
      <c r="X55" s="124">
        <f>L55*(1-'Entrada de dades'!$B$8)*'Entrada de dades'!$B$11*('Entrada de dades'!$B$8/(1*(1/'Entrada de dades'!$B$8)))</f>
        <v>813.01228864728057</v>
      </c>
      <c r="Y55" s="124">
        <f>M55*(1-'Entrada de dades'!$B$8)*'Entrada de dades'!$B$13*('Entrada de dades'!$B$8/(1*(1/'Entrada de dades'!$B$8)))</f>
        <v>97.266201846289732</v>
      </c>
      <c r="Z55" s="124">
        <f>N55*(1-'Entrada de dades'!$B$8)*'Entrada de dades'!$B$12*('Entrada de dades'!$B$8/(1*(1/'Entrada de dades'!$B$8)))</f>
        <v>925.95173534529215</v>
      </c>
      <c r="AA55" s="124">
        <f>O55*(1-'Entrada de dades'!$B$8)*'Entrada de dades'!$B$14*('Entrada de dades'!$B$8/(1*(1/'Entrada de dades'!$B$8)))</f>
        <v>33.950582236222573</v>
      </c>
      <c r="AB55" s="124">
        <f>P55*(1-'Entrada de dades'!$B$8)*'Entrada de dades'!$B$15*('Entrada de dades'!$B$8/(1*(1/'Entrada de dades'!$B$8)))</f>
        <v>0</v>
      </c>
      <c r="AC55" s="124">
        <f>Q55*(1-'Entrada de dades'!$B$8)*'Entrada de dades'!$B$15*('Entrada de dades'!$B$8/(1*(1/'Entrada de dades'!$B$8)))</f>
        <v>0</v>
      </c>
      <c r="AD55" s="124">
        <f t="shared" si="74"/>
        <v>5270.316502722284</v>
      </c>
      <c r="AE55" s="124">
        <f t="shared" si="74"/>
        <v>630.52388740708875</v>
      </c>
      <c r="AF55" s="124">
        <f t="shared" si="74"/>
        <v>6002.441512457639</v>
      </c>
      <c r="AG55" s="124">
        <f t="shared" si="74"/>
        <v>220.08316028568842</v>
      </c>
      <c r="AH55" s="124">
        <f t="shared" si="74"/>
        <v>0</v>
      </c>
      <c r="AI55" s="124">
        <f t="shared" si="74"/>
        <v>0</v>
      </c>
      <c r="AJ55" s="124">
        <f>AD55*('[1]Entrada de dades'!$B$19+'[1]Entrada de dades'!$B$20)</f>
        <v>3162.1899016333709</v>
      </c>
      <c r="AK55" s="124">
        <f>AE55*('[1]Entrada de dades'!$B$19+'[1]Entrada de dades'!$B$20)</f>
        <v>378.3143324442533</v>
      </c>
      <c r="AL55" s="124">
        <f>AF55*('[1]Entrada de dades'!$B$19+'[1]Entrada de dades'!$B$20)</f>
        <v>3601.4649074745839</v>
      </c>
      <c r="AM55" s="124">
        <f>AG55*('[1]Entrada de dades'!$B$19+'[1]Entrada de dades'!$B$20)</f>
        <v>132.04989617141308</v>
      </c>
      <c r="AN55" s="124">
        <f>AH55*('[1]Entrada de dades'!$B$19+'[1]Entrada de dades'!$B$20)</f>
        <v>0</v>
      </c>
      <c r="AO55" s="124">
        <f>AI55*('[1]Entrada de dades'!$B$19+'[1]Entrada de dades'!$B$20)</f>
        <v>0</v>
      </c>
      <c r="AP55" s="124">
        <f t="shared" si="73"/>
        <v>2108.126601088913</v>
      </c>
      <c r="AQ55" s="124">
        <f t="shared" si="73"/>
        <v>252.20955496283545</v>
      </c>
      <c r="AR55" s="124">
        <f t="shared" si="73"/>
        <v>2400.976604983055</v>
      </c>
      <c r="AS55" s="124">
        <f t="shared" si="73"/>
        <v>88.03326411427534</v>
      </c>
      <c r="AT55" s="124">
        <f t="shared" si="73"/>
        <v>0</v>
      </c>
      <c r="AU55" s="124">
        <f t="shared" si="72"/>
        <v>0</v>
      </c>
      <c r="AV55" s="92">
        <f t="shared" si="54"/>
        <v>4046.8652297803333</v>
      </c>
      <c r="AW55" s="92">
        <f t="shared" si="71"/>
        <v>88.462501403214532</v>
      </c>
      <c r="AX55" s="92">
        <f t="shared" si="55"/>
        <v>8021.4227395878906</v>
      </c>
      <c r="AY55" s="92">
        <f t="shared" si="56"/>
        <v>2490.5006567617015</v>
      </c>
      <c r="AZ55" s="92">
        <f t="shared" si="57"/>
        <v>0</v>
      </c>
      <c r="BA55" s="92">
        <f t="shared" si="58"/>
        <v>0</v>
      </c>
      <c r="BB55" s="92">
        <f t="shared" si="59"/>
        <v>445.97418246035966</v>
      </c>
      <c r="BC55" s="92">
        <f t="shared" si="60"/>
        <v>53.474730890995204</v>
      </c>
      <c r="BD55" s="92">
        <f t="shared" si="61"/>
        <v>646.70304855218603</v>
      </c>
      <c r="BE55" s="92">
        <f t="shared" si="62"/>
        <v>107.97279843615874</v>
      </c>
      <c r="BF55" s="92">
        <f t="shared" si="63"/>
        <v>0</v>
      </c>
      <c r="BG55" s="92">
        <f t="shared" si="64"/>
        <v>0</v>
      </c>
      <c r="BH55" s="92">
        <f t="shared" si="65"/>
        <v>875325.47045214335</v>
      </c>
      <c r="BI55" s="92">
        <f t="shared" si="66"/>
        <v>49880.379028920106</v>
      </c>
      <c r="BJ55" s="92">
        <f t="shared" si="67"/>
        <v>1101442.8554362759</v>
      </c>
      <c r="BK55" s="92">
        <f t="shared" si="68"/>
        <v>155846.95569185668</v>
      </c>
      <c r="BL55" s="92">
        <f t="shared" si="69"/>
        <v>0</v>
      </c>
      <c r="BM55" s="92">
        <f t="shared" si="70"/>
        <v>0</v>
      </c>
    </row>
    <row r="56" spans="1:65" ht="10.5" x14ac:dyDescent="0.25">
      <c r="A56" s="66">
        <v>22210</v>
      </c>
      <c r="B56" s="66" t="s">
        <v>592</v>
      </c>
      <c r="C56" s="66" t="s">
        <v>581</v>
      </c>
      <c r="D56" s="67" t="s">
        <v>593</v>
      </c>
      <c r="E56" s="143"/>
      <c r="F56" s="143"/>
      <c r="G56" s="143"/>
      <c r="H56" s="91"/>
      <c r="I56" s="91"/>
      <c r="K56" s="91">
        <v>57211.732037754373</v>
      </c>
      <c r="L56" s="96">
        <v>28484.227126417099</v>
      </c>
      <c r="M56" s="100">
        <v>5050.0573085555307</v>
      </c>
      <c r="N56" s="104">
        <v>23059.732647724388</v>
      </c>
      <c r="O56" s="108">
        <v>617.71495505735436</v>
      </c>
      <c r="P56" s="112">
        <v>0</v>
      </c>
      <c r="Q56" s="116">
        <v>0</v>
      </c>
      <c r="R56" s="124">
        <f>L56*'Entrada de dades'!$B$8*'Entrada de dades'!$B$11</f>
        <v>2662.7055517774702</v>
      </c>
      <c r="S56" s="124">
        <f>M56*'Entrada de dades'!$B$8*'Entrada de dades'!$B$13</f>
        <v>318.5576150236829</v>
      </c>
      <c r="T56" s="124">
        <f>N56*'Entrada de dades'!$B$8*'Entrada de dades'!$B$12</f>
        <v>5573.0761863020298</v>
      </c>
      <c r="U56" s="124">
        <f>O56*'Entrada de dades'!$B$8*'Entrada de dades'!$B$14</f>
        <v>131.91920580204862</v>
      </c>
      <c r="V56" s="124">
        <f>P56*'Entrada de dades'!$B$8*'Entrada de dades'!$B$15</f>
        <v>0</v>
      </c>
      <c r="W56" s="124">
        <f>Q56*'Entrada de dades'!$B$8*'Entrada de dades'!$B$15</f>
        <v>0</v>
      </c>
      <c r="X56" s="124">
        <f>L56*(1-'Entrada de dades'!$B$8)*'Entrada de dades'!$B$11*('Entrada de dades'!$B$8/(1*(1/'Entrada de dades'!$B$8)))</f>
        <v>485.67749264421059</v>
      </c>
      <c r="Y56" s="124">
        <f>M56*(1-'Entrada de dades'!$B$8)*'Entrada de dades'!$B$13*('Entrada de dades'!$B$8/(1*(1/'Entrada de dades'!$B$8)))</f>
        <v>58.104908980319756</v>
      </c>
      <c r="Z56" s="124">
        <f>N56*(1-'Entrada de dades'!$B$8)*'Entrada de dades'!$B$12*('Entrada de dades'!$B$8/(1*(1/'Entrada de dades'!$B$8)))</f>
        <v>1016.5290963814903</v>
      </c>
      <c r="AA56" s="124">
        <f>O56*(1-'Entrada de dades'!$B$8)*'Entrada de dades'!$B$14*('Entrada de dades'!$B$8/(1*(1/'Entrada de dades'!$B$8)))</f>
        <v>24.062063138293666</v>
      </c>
      <c r="AB56" s="124">
        <f>P56*(1-'Entrada de dades'!$B$8)*'Entrada de dades'!$B$15*('Entrada de dades'!$B$8/(1*(1/'Entrada de dades'!$B$8)))</f>
        <v>0</v>
      </c>
      <c r="AC56" s="124">
        <f>Q56*(1-'Entrada de dades'!$B$8)*'Entrada de dades'!$B$15*('Entrada de dades'!$B$8/(1*(1/'Entrada de dades'!$B$8)))</f>
        <v>0</v>
      </c>
      <c r="AD56" s="124">
        <f t="shared" si="74"/>
        <v>3148.383044421681</v>
      </c>
      <c r="AE56" s="124">
        <f t="shared" si="74"/>
        <v>376.66252400400265</v>
      </c>
      <c r="AF56" s="124">
        <f t="shared" si="74"/>
        <v>6589.6052826835203</v>
      </c>
      <c r="AG56" s="124">
        <f t="shared" si="74"/>
        <v>155.98126894034229</v>
      </c>
      <c r="AH56" s="124">
        <f t="shared" si="74"/>
        <v>0</v>
      </c>
      <c r="AI56" s="124">
        <f t="shared" si="74"/>
        <v>0</v>
      </c>
      <c r="AJ56" s="124">
        <f>AD56*('[1]Entrada de dades'!$B$19+'[1]Entrada de dades'!$B$20)</f>
        <v>1889.029826653009</v>
      </c>
      <c r="AK56" s="124">
        <f>AE56*('[1]Entrada de dades'!$B$19+'[1]Entrada de dades'!$B$20)</f>
        <v>225.99751440240163</v>
      </c>
      <c r="AL56" s="124">
        <f>AF56*('[1]Entrada de dades'!$B$19+'[1]Entrada de dades'!$B$20)</f>
        <v>3953.7631696101125</v>
      </c>
      <c r="AM56" s="124">
        <f>AG56*('[1]Entrada de dades'!$B$19+'[1]Entrada de dades'!$B$20)</f>
        <v>93.588761364205382</v>
      </c>
      <c r="AN56" s="124">
        <f>AH56*('[1]Entrada de dades'!$B$19+'[1]Entrada de dades'!$B$20)</f>
        <v>0</v>
      </c>
      <c r="AO56" s="124">
        <f>AI56*('[1]Entrada de dades'!$B$19+'[1]Entrada de dades'!$B$20)</f>
        <v>0</v>
      </c>
      <c r="AP56" s="124">
        <f t="shared" si="73"/>
        <v>1259.353217768672</v>
      </c>
      <c r="AQ56" s="124">
        <f t="shared" si="73"/>
        <v>150.66500960160101</v>
      </c>
      <c r="AR56" s="124">
        <f t="shared" si="73"/>
        <v>2635.8421130734077</v>
      </c>
      <c r="AS56" s="124">
        <f t="shared" si="73"/>
        <v>62.392507576136907</v>
      </c>
      <c r="AT56" s="124">
        <f t="shared" si="73"/>
        <v>0</v>
      </c>
      <c r="AU56" s="124">
        <f t="shared" si="72"/>
        <v>0</v>
      </c>
      <c r="AV56" s="92">
        <f t="shared" si="54"/>
        <v>2417.5174044896321</v>
      </c>
      <c r="AW56" s="92">
        <f t="shared" si="71"/>
        <v>52.845752117761563</v>
      </c>
      <c r="AX56" s="92">
        <f t="shared" si="55"/>
        <v>8806.0849155669493</v>
      </c>
      <c r="AY56" s="92">
        <f t="shared" si="56"/>
        <v>1765.1121159573227</v>
      </c>
      <c r="AZ56" s="92">
        <f t="shared" si="57"/>
        <v>0</v>
      </c>
      <c r="BA56" s="92">
        <f t="shared" si="58"/>
        <v>0</v>
      </c>
      <c r="BB56" s="92">
        <f t="shared" si="59"/>
        <v>266.41617321896263</v>
      </c>
      <c r="BC56" s="92">
        <f t="shared" si="60"/>
        <v>31.944748660779467</v>
      </c>
      <c r="BD56" s="92">
        <f t="shared" si="61"/>
        <v>709.96407315632246</v>
      </c>
      <c r="BE56" s="92">
        <f t="shared" si="62"/>
        <v>76.524410542131932</v>
      </c>
      <c r="BF56" s="92">
        <f t="shared" si="63"/>
        <v>0</v>
      </c>
      <c r="BG56" s="92">
        <f t="shared" si="64"/>
        <v>0</v>
      </c>
      <c r="BH56" s="92">
        <f t="shared" si="65"/>
        <v>522902.15741283674</v>
      </c>
      <c r="BI56" s="92">
        <f t="shared" si="66"/>
        <v>29797.553809692738</v>
      </c>
      <c r="BJ56" s="92">
        <f t="shared" si="67"/>
        <v>1209186.9023118827</v>
      </c>
      <c r="BK56" s="92">
        <f t="shared" si="68"/>
        <v>110454.63850005376</v>
      </c>
      <c r="BL56" s="92">
        <f t="shared" si="69"/>
        <v>0</v>
      </c>
      <c r="BM56" s="92">
        <f t="shared" si="70"/>
        <v>0</v>
      </c>
    </row>
    <row r="57" spans="1:65" ht="10.5" x14ac:dyDescent="0.25">
      <c r="A57" s="66">
        <v>140080</v>
      </c>
      <c r="B57" s="66" t="s">
        <v>594</v>
      </c>
      <c r="C57" s="66" t="s">
        <v>595</v>
      </c>
      <c r="D57" s="67" t="s">
        <v>595</v>
      </c>
      <c r="E57" s="143"/>
      <c r="F57" s="143"/>
      <c r="G57" s="143"/>
      <c r="H57" s="91"/>
      <c r="I57" s="91"/>
      <c r="K57" s="91">
        <v>323523.05386912386</v>
      </c>
      <c r="L57" s="96">
        <v>181537.72607436095</v>
      </c>
      <c r="M57" s="100">
        <v>32185.388645849318</v>
      </c>
      <c r="N57" s="104">
        <v>101129.18481856014</v>
      </c>
      <c r="O57" s="108">
        <v>5567.8964442156048</v>
      </c>
      <c r="P57" s="112">
        <v>2085.6609185817683</v>
      </c>
      <c r="Q57" s="116">
        <v>1017.1969675561386</v>
      </c>
      <c r="R57" s="124">
        <f>L57*'Entrada de dades'!$B$8*'Entrada de dades'!$B$11</f>
        <v>16970.146633431261</v>
      </c>
      <c r="S57" s="124">
        <f>M57*'Entrada de dades'!$B$8*'Entrada de dades'!$B$13</f>
        <v>2030.2543157801751</v>
      </c>
      <c r="T57" s="124">
        <f>N57*'Entrada de dades'!$B$8*'Entrada de dades'!$B$12</f>
        <v>24440.901386949616</v>
      </c>
      <c r="U57" s="124">
        <f>O57*'Entrada de dades'!$B$8*'Entrada de dades'!$B$14</f>
        <v>1189.0799646266848</v>
      </c>
      <c r="V57" s="124">
        <f>P57*'Entrada de dades'!$B$8*'Entrada de dades'!$B$15</f>
        <v>255.20146999766519</v>
      </c>
      <c r="W57" s="124">
        <f>Q57*'Entrada de dades'!$B$8*'Entrada de dades'!$B$15</f>
        <v>124.46422095016912</v>
      </c>
      <c r="X57" s="124">
        <f>L57*(1-'Entrada de dades'!$B$8)*'Entrada de dades'!$B$11*('Entrada de dades'!$B$8/(1*(1/'Entrada de dades'!$B$8)))</f>
        <v>3095.3547459378619</v>
      </c>
      <c r="Y57" s="124">
        <f>M57*(1-'Entrada de dades'!$B$8)*'Entrada de dades'!$B$13*('Entrada de dades'!$B$8/(1*(1/'Entrada de dades'!$B$8)))</f>
        <v>370.31838719830392</v>
      </c>
      <c r="Z57" s="124">
        <f>N57*(1-'Entrada de dades'!$B$8)*'Entrada de dades'!$B$12*('Entrada de dades'!$B$8/(1*(1/'Entrada de dades'!$B$8)))</f>
        <v>4458.0204129796093</v>
      </c>
      <c r="AA57" s="124">
        <f>O57*(1-'Entrada de dades'!$B$8)*'Entrada de dades'!$B$14*('Entrada de dades'!$B$8/(1*(1/'Entrada de dades'!$B$8)))</f>
        <v>216.88818554790728</v>
      </c>
      <c r="AB57" s="124">
        <f>P57*(1-'Entrada de dades'!$B$8)*'Entrada de dades'!$B$15*('Entrada de dades'!$B$8/(1*(1/'Entrada de dades'!$B$8)))</f>
        <v>46.548748127574122</v>
      </c>
      <c r="AC57" s="124">
        <f>Q57*(1-'Entrada de dades'!$B$8)*'Entrada de dades'!$B$15*('Entrada de dades'!$B$8/(1*(1/'Entrada de dades'!$B$8)))</f>
        <v>22.702273901310846</v>
      </c>
      <c r="AD57" s="124">
        <f t="shared" si="74"/>
        <v>20065.501379369121</v>
      </c>
      <c r="AE57" s="124">
        <f t="shared" si="74"/>
        <v>2400.5727029784789</v>
      </c>
      <c r="AF57" s="124">
        <f t="shared" si="74"/>
        <v>28898.921799929223</v>
      </c>
      <c r="AG57" s="124">
        <f t="shared" si="74"/>
        <v>1405.9681501745922</v>
      </c>
      <c r="AH57" s="124">
        <f t="shared" si="74"/>
        <v>301.75021812523931</v>
      </c>
      <c r="AI57" s="124">
        <f t="shared" si="74"/>
        <v>147.16649485147997</v>
      </c>
      <c r="AJ57" s="124">
        <f>AD57*('[1]Entrada de dades'!$B$19+'[1]Entrada de dades'!$B$20)</f>
        <v>12039.300827621475</v>
      </c>
      <c r="AK57" s="124">
        <f>AE57*('[1]Entrada de dades'!$B$19+'[1]Entrada de dades'!$B$20)</f>
        <v>1440.3436217870876</v>
      </c>
      <c r="AL57" s="124">
        <f>AF57*('[1]Entrada de dades'!$B$19+'[1]Entrada de dades'!$B$20)</f>
        <v>17339.353079957538</v>
      </c>
      <c r="AM57" s="124">
        <f>AG57*('[1]Entrada de dades'!$B$19+'[1]Entrada de dades'!$B$20)</f>
        <v>843.58089010475544</v>
      </c>
      <c r="AN57" s="124">
        <f>AH57*('[1]Entrada de dades'!$B$19+'[1]Entrada de dades'!$B$20)</f>
        <v>181.05013087514362</v>
      </c>
      <c r="AO57" s="124">
        <f>AI57*('[1]Entrada de dades'!$B$19+'[1]Entrada de dades'!$B$20)</f>
        <v>88.299896910887995</v>
      </c>
      <c r="AP57" s="124">
        <f t="shared" si="73"/>
        <v>8026.2005517476464</v>
      </c>
      <c r="AQ57" s="124">
        <f t="shared" si="73"/>
        <v>960.22908119139129</v>
      </c>
      <c r="AR57" s="124">
        <f t="shared" si="73"/>
        <v>11559.568719971685</v>
      </c>
      <c r="AS57" s="124">
        <f t="shared" si="73"/>
        <v>562.38726006983677</v>
      </c>
      <c r="AT57" s="124">
        <f t="shared" si="73"/>
        <v>120.70008725009569</v>
      </c>
      <c r="AU57" s="124">
        <f t="shared" si="72"/>
        <v>58.866597940591973</v>
      </c>
      <c r="AV57" s="92">
        <f t="shared" ref="AV57:AV67" si="75">(AJ57*$BT$211)+(AP57*$BU$211)</f>
        <v>15407.495889162376</v>
      </c>
      <c r="AW57" s="92">
        <f t="shared" si="71"/>
        <v>336.80035022788059</v>
      </c>
      <c r="AX57" s="92">
        <f t="shared" ref="AX57:AX67" si="76">(AL57*$BT$212)+(AR57*$BU$212)</f>
        <v>38619.363136553417</v>
      </c>
      <c r="AY57" s="92">
        <f t="shared" ref="AY57:AY67" si="77">(AM57*$BT$214)+(AS57*$BU$214)</f>
        <v>15910.188661642718</v>
      </c>
      <c r="AZ57" s="92">
        <f t="shared" ref="AZ57:AZ67" si="78">(AN57*$BT$215)+(AT57*$BU$215)</f>
        <v>4064.5573331338855</v>
      </c>
      <c r="BA57" s="92">
        <f t="shared" ref="BA57:BA67" si="79">(AO57*$BT$215)+(AU57*$BU$215)</f>
        <v>1982.3238556597441</v>
      </c>
      <c r="BB57" s="92">
        <f t="shared" ref="BB57:BB67" si="80">(AJ57*$BT$223)+(AP57*$BU$223)</f>
        <v>1697.942726722215</v>
      </c>
      <c r="BC57" s="92">
        <f t="shared" ref="BC57:BC67" si="81">(AK57*$BT$225)+(AQ57*$BU$225)</f>
        <v>203.5925709396048</v>
      </c>
      <c r="BD57" s="92">
        <f t="shared" ref="BD57:BD67" si="82">(AL57*$BT$224)+(AR57*$BU$224)</f>
        <v>3113.5698347243747</v>
      </c>
      <c r="BE57" s="92">
        <f t="shared" ref="BE57:BE67" si="83">(AM57*$BT$226)+(AS57*$BU$226)</f>
        <v>689.76797447565491</v>
      </c>
      <c r="BF57" s="92">
        <f t="shared" ref="BF57:BF67" si="84">(AN57*$BT$227)+(AT57*$BU$227)</f>
        <v>167.89382136488314</v>
      </c>
      <c r="BG57" s="92">
        <f t="shared" ref="BG57:BG67" si="85">(AO57*$BT$227)+(AU57*$BU$227)</f>
        <v>81.883437735363458</v>
      </c>
      <c r="BH57" s="92">
        <f t="shared" ref="BH57:BH67" si="86">(AJ57*$BT$234)+(AP57*$BU$234)</f>
        <v>3332597.6581638181</v>
      </c>
      <c r="BI57" s="92">
        <f t="shared" ref="BI57:BI67" si="87">(AK57*$BT$236)+(AQ57*$BU$236)</f>
        <v>189907.91420045978</v>
      </c>
      <c r="BJ57" s="92">
        <f t="shared" ref="BJ57:BJ67" si="88">(AL57*$BT$235)+(AR57*$BU$235)</f>
        <v>5302927.297214265</v>
      </c>
      <c r="BK57" s="92">
        <f t="shared" ref="BK57:BK67" si="89">(AM57*$BT$237)+(AS57*$BU$237)</f>
        <v>995604.82374021062</v>
      </c>
      <c r="BL57" s="92">
        <f t="shared" ref="BL57:BL67" si="90">(AN57*$BT$238)+(AT57*$BU$238)</f>
        <v>241181.3090319809</v>
      </c>
      <c r="BM57" s="92">
        <f t="shared" ref="BM57:BM67" si="91">(AO57*$BT$238)+(AU57*$BU$238)</f>
        <v>117626.45307913831</v>
      </c>
    </row>
    <row r="58" spans="1:65" ht="10.5" x14ac:dyDescent="0.25">
      <c r="A58" s="66">
        <v>21317</v>
      </c>
      <c r="B58" s="66" t="s">
        <v>596</v>
      </c>
      <c r="C58" s="66" t="s">
        <v>597</v>
      </c>
      <c r="D58" s="67" t="s">
        <v>598</v>
      </c>
      <c r="E58" s="143"/>
      <c r="F58" s="143"/>
      <c r="G58" s="143"/>
      <c r="H58" s="91"/>
      <c r="I58" s="91"/>
      <c r="K58" s="91">
        <v>68501.357048087346</v>
      </c>
      <c r="L58" s="96">
        <v>33145.999606967576</v>
      </c>
      <c r="M58" s="100">
        <v>5876.5574653525946</v>
      </c>
      <c r="N58" s="104">
        <v>27871.048722878168</v>
      </c>
      <c r="O58" s="108">
        <v>1607.7512528890045</v>
      </c>
      <c r="P58" s="112">
        <v>0</v>
      </c>
      <c r="Q58" s="116">
        <v>0</v>
      </c>
      <c r="R58" s="124">
        <f>L58*'Entrada de dades'!$B$8*'Entrada de dades'!$B$11</f>
        <v>3098.4880432593291</v>
      </c>
      <c r="S58" s="124">
        <f>M58*'Entrada de dades'!$B$8*'Entrada de dades'!$B$13</f>
        <v>370.69324491444166</v>
      </c>
      <c r="T58" s="124">
        <f>N58*'Entrada de dades'!$B$8*'Entrada de dades'!$B$12</f>
        <v>6735.8750553451955</v>
      </c>
      <c r="U58" s="124">
        <f>O58*'Entrada de dades'!$B$8*'Entrada de dades'!$B$14</f>
        <v>343.35135756697582</v>
      </c>
      <c r="V58" s="124">
        <f>P58*'Entrada de dades'!$B$8*'Entrada de dades'!$B$15</f>
        <v>0</v>
      </c>
      <c r="W58" s="124">
        <f>Q58*'Entrada de dades'!$B$8*'Entrada de dades'!$B$15</f>
        <v>0</v>
      </c>
      <c r="X58" s="124">
        <f>L58*(1-'Entrada de dades'!$B$8)*'Entrada de dades'!$B$11*('Entrada de dades'!$B$8/(1*(1/'Entrada de dades'!$B$8)))</f>
        <v>565.16421909050166</v>
      </c>
      <c r="Y58" s="124">
        <f>M58*(1-'Entrada de dades'!$B$8)*'Entrada de dades'!$B$13*('Entrada de dades'!$B$8/(1*(1/'Entrada de dades'!$B$8)))</f>
        <v>67.614447872394166</v>
      </c>
      <c r="Z58" s="124">
        <f>N58*(1-'Entrada de dades'!$B$8)*'Entrada de dades'!$B$12*('Entrada de dades'!$B$8/(1*(1/'Entrada de dades'!$B$8)))</f>
        <v>1228.6236100949636</v>
      </c>
      <c r="AA58" s="124">
        <f>O58*(1-'Entrada de dades'!$B$8)*'Entrada de dades'!$B$14*('Entrada de dades'!$B$8/(1*(1/'Entrada de dades'!$B$8)))</f>
        <v>62.627287620216386</v>
      </c>
      <c r="AB58" s="124">
        <f>P58*(1-'Entrada de dades'!$B$8)*'Entrada de dades'!$B$15*('Entrada de dades'!$B$8/(1*(1/'Entrada de dades'!$B$8)))</f>
        <v>0</v>
      </c>
      <c r="AC58" s="124">
        <f>Q58*(1-'Entrada de dades'!$B$8)*'Entrada de dades'!$B$15*('Entrada de dades'!$B$8/(1*(1/'Entrada de dades'!$B$8)))</f>
        <v>0</v>
      </c>
      <c r="AD58" s="124">
        <f t="shared" si="74"/>
        <v>3663.6522623498308</v>
      </c>
      <c r="AE58" s="124">
        <f t="shared" si="74"/>
        <v>438.30769278683584</v>
      </c>
      <c r="AF58" s="124">
        <f t="shared" si="74"/>
        <v>7964.4986654401591</v>
      </c>
      <c r="AG58" s="124">
        <f t="shared" si="74"/>
        <v>405.97864518719223</v>
      </c>
      <c r="AH58" s="124">
        <f t="shared" si="74"/>
        <v>0</v>
      </c>
      <c r="AI58" s="124">
        <f t="shared" si="74"/>
        <v>0</v>
      </c>
      <c r="AJ58" s="124">
        <f>AD58*('[1]Entrada de dades'!$B$19+'[1]Entrada de dades'!$B$20)</f>
        <v>2198.191357409899</v>
      </c>
      <c r="AK58" s="124">
        <f>AE58*('[1]Entrada de dades'!$B$19+'[1]Entrada de dades'!$B$20)</f>
        <v>262.98461567210154</v>
      </c>
      <c r="AL58" s="124">
        <f>AF58*('[1]Entrada de dades'!$B$19+'[1]Entrada de dades'!$B$20)</f>
        <v>4778.699199264096</v>
      </c>
      <c r="AM58" s="124">
        <f>AG58*('[1]Entrada de dades'!$B$19+'[1]Entrada de dades'!$B$20)</f>
        <v>243.58718711231538</v>
      </c>
      <c r="AN58" s="124">
        <f>AH58*('[1]Entrada de dades'!$B$19+'[1]Entrada de dades'!$B$20)</f>
        <v>0</v>
      </c>
      <c r="AO58" s="124">
        <f>AI58*('[1]Entrada de dades'!$B$19+'[1]Entrada de dades'!$B$20)</f>
        <v>0</v>
      </c>
      <c r="AP58" s="124">
        <f t="shared" si="73"/>
        <v>1465.4609049399319</v>
      </c>
      <c r="AQ58" s="124">
        <f t="shared" si="73"/>
        <v>175.3230771147343</v>
      </c>
      <c r="AR58" s="124">
        <f t="shared" si="73"/>
        <v>3185.7994661760631</v>
      </c>
      <c r="AS58" s="124">
        <f t="shared" si="73"/>
        <v>162.39145807487685</v>
      </c>
      <c r="AT58" s="124">
        <f t="shared" si="73"/>
        <v>0</v>
      </c>
      <c r="AU58" s="124">
        <f t="shared" si="72"/>
        <v>0</v>
      </c>
      <c r="AV58" s="92">
        <f t="shared" si="75"/>
        <v>2813.1720261679411</v>
      </c>
      <c r="AW58" s="92">
        <f t="shared" ref="AW58:AW67" si="92">(AK58*$BT$213)+(AQ58*$BT$213)</f>
        <v>61.49456929799306</v>
      </c>
      <c r="AX58" s="92">
        <f t="shared" si="76"/>
        <v>10643.437436547612</v>
      </c>
      <c r="AY58" s="92">
        <f t="shared" si="77"/>
        <v>4594.1274250944007</v>
      </c>
      <c r="AZ58" s="92">
        <f t="shared" si="78"/>
        <v>0</v>
      </c>
      <c r="BA58" s="92">
        <f t="shared" si="79"/>
        <v>0</v>
      </c>
      <c r="BB58" s="92">
        <f t="shared" si="80"/>
        <v>310.01825444004271</v>
      </c>
      <c r="BC58" s="92">
        <f t="shared" si="81"/>
        <v>37.172875425251547</v>
      </c>
      <c r="BD58" s="92">
        <f t="shared" si="82"/>
        <v>858.09508621452278</v>
      </c>
      <c r="BE58" s="92">
        <f t="shared" si="83"/>
        <v>199.17312332883648</v>
      </c>
      <c r="BF58" s="92">
        <f t="shared" si="84"/>
        <v>0</v>
      </c>
      <c r="BG58" s="92">
        <f t="shared" si="85"/>
        <v>0</v>
      </c>
      <c r="BH58" s="92">
        <f t="shared" si="86"/>
        <v>608481.12982549844</v>
      </c>
      <c r="BI58" s="92">
        <f t="shared" si="87"/>
        <v>34674.267357904777</v>
      </c>
      <c r="BJ58" s="92">
        <f t="shared" si="88"/>
        <v>1461478.655639417</v>
      </c>
      <c r="BK58" s="92">
        <f t="shared" si="89"/>
        <v>287484.67554808513</v>
      </c>
      <c r="BL58" s="92">
        <f t="shared" si="90"/>
        <v>0</v>
      </c>
      <c r="BM58" s="92">
        <f t="shared" si="91"/>
        <v>0</v>
      </c>
    </row>
    <row r="59" spans="1:65" ht="10.5" x14ac:dyDescent="0.25">
      <c r="A59" s="66">
        <v>28463</v>
      </c>
      <c r="B59" s="66" t="s">
        <v>599</v>
      </c>
      <c r="C59" s="66" t="s">
        <v>597</v>
      </c>
      <c r="D59" s="67" t="s">
        <v>600</v>
      </c>
      <c r="E59" s="143"/>
      <c r="F59" s="143"/>
      <c r="G59" s="143"/>
      <c r="H59" s="91"/>
      <c r="I59" s="91"/>
      <c r="K59" s="91">
        <v>53072.503475630285</v>
      </c>
      <c r="L59" s="96">
        <v>30235.588659879541</v>
      </c>
      <c r="M59" s="100">
        <v>5360.5616474211038</v>
      </c>
      <c r="N59" s="104">
        <v>17078.646279457098</v>
      </c>
      <c r="O59" s="108">
        <v>397.70688887254323</v>
      </c>
      <c r="P59" s="112">
        <v>0</v>
      </c>
      <c r="Q59" s="116">
        <v>0</v>
      </c>
      <c r="R59" s="124">
        <f>L59*'Entrada de dades'!$B$8*'Entrada de dades'!$B$11</f>
        <v>2826.4228279255394</v>
      </c>
      <c r="S59" s="124">
        <f>M59*'Entrada de dades'!$B$8*'Entrada de dades'!$B$13</f>
        <v>338.14422871932328</v>
      </c>
      <c r="T59" s="124">
        <f>N59*'Entrada de dades'!$B$8*'Entrada de dades'!$B$12</f>
        <v>4127.5672328191913</v>
      </c>
      <c r="U59" s="124">
        <f>O59*'Entrada de dades'!$B$8*'Entrada de dades'!$B$14</f>
        <v>84.934283187620352</v>
      </c>
      <c r="V59" s="124">
        <f>P59*'Entrada de dades'!$B$8*'Entrada de dades'!$B$15</f>
        <v>0</v>
      </c>
      <c r="W59" s="124">
        <f>Q59*'Entrada de dades'!$B$8*'Entrada de dades'!$B$15</f>
        <v>0</v>
      </c>
      <c r="X59" s="124">
        <f>L59*(1-'Entrada de dades'!$B$8)*'Entrada de dades'!$B$11*('Entrada de dades'!$B$8/(1*(1/'Entrada de dades'!$B$8)))</f>
        <v>515.53952381361842</v>
      </c>
      <c r="Y59" s="124">
        <f>M59*(1-'Entrada de dades'!$B$8)*'Entrada de dades'!$B$13*('Entrada de dades'!$B$8/(1*(1/'Entrada de dades'!$B$8)))</f>
        <v>61.677507318404558</v>
      </c>
      <c r="Z59" s="124">
        <f>N59*(1-'Entrada de dades'!$B$8)*'Entrada de dades'!$B$12*('Entrada de dades'!$B$8/(1*(1/'Entrada de dades'!$B$8)))</f>
        <v>752.86826326622054</v>
      </c>
      <c r="AA59" s="124">
        <f>O59*(1-'Entrada de dades'!$B$8)*'Entrada de dades'!$B$14*('Entrada de dades'!$B$8/(1*(1/'Entrada de dades'!$B$8)))</f>
        <v>15.492013253421948</v>
      </c>
      <c r="AB59" s="124">
        <f>P59*(1-'Entrada de dades'!$B$8)*'Entrada de dades'!$B$15*('Entrada de dades'!$B$8/(1*(1/'Entrada de dades'!$B$8)))</f>
        <v>0</v>
      </c>
      <c r="AC59" s="124">
        <f>Q59*(1-'Entrada de dades'!$B$8)*'Entrada de dades'!$B$15*('Entrada de dades'!$B$8/(1*(1/'Entrada de dades'!$B$8)))</f>
        <v>0</v>
      </c>
      <c r="AD59" s="124">
        <f t="shared" si="74"/>
        <v>3341.9623517391578</v>
      </c>
      <c r="AE59" s="124">
        <f t="shared" si="74"/>
        <v>399.82173603772782</v>
      </c>
      <c r="AF59" s="124">
        <f t="shared" si="74"/>
        <v>4880.4354960854116</v>
      </c>
      <c r="AG59" s="124">
        <f t="shared" si="74"/>
        <v>100.4262964410423</v>
      </c>
      <c r="AH59" s="124">
        <f t="shared" si="74"/>
        <v>0</v>
      </c>
      <c r="AI59" s="124">
        <f t="shared" si="74"/>
        <v>0</v>
      </c>
      <c r="AJ59" s="124">
        <f>AD59*('[1]Entrada de dades'!$B$19+'[1]Entrada de dades'!$B$20)</f>
        <v>2005.1774110434951</v>
      </c>
      <c r="AK59" s="124">
        <f>AE59*('[1]Entrada de dades'!$B$19+'[1]Entrada de dades'!$B$20)</f>
        <v>239.89304162263673</v>
      </c>
      <c r="AL59" s="124">
        <f>AF59*('[1]Entrada de dades'!$B$19+'[1]Entrada de dades'!$B$20)</f>
        <v>2928.2612976512473</v>
      </c>
      <c r="AM59" s="124">
        <f>AG59*('[1]Entrada de dades'!$B$19+'[1]Entrada de dades'!$B$20)</f>
        <v>60.255777864625387</v>
      </c>
      <c r="AN59" s="124">
        <f>AH59*('[1]Entrada de dades'!$B$19+'[1]Entrada de dades'!$B$20)</f>
        <v>0</v>
      </c>
      <c r="AO59" s="124">
        <f>AI59*('[1]Entrada de dades'!$B$19+'[1]Entrada de dades'!$B$20)</f>
        <v>0</v>
      </c>
      <c r="AP59" s="124">
        <f t="shared" si="73"/>
        <v>1336.7849406956627</v>
      </c>
      <c r="AQ59" s="124">
        <f t="shared" si="73"/>
        <v>159.92869441509109</v>
      </c>
      <c r="AR59" s="124">
        <f t="shared" si="73"/>
        <v>1952.1741984341643</v>
      </c>
      <c r="AS59" s="124">
        <f t="shared" si="73"/>
        <v>40.17051857641691</v>
      </c>
      <c r="AT59" s="124">
        <f t="shared" si="73"/>
        <v>0</v>
      </c>
      <c r="AU59" s="124">
        <f t="shared" si="72"/>
        <v>0</v>
      </c>
      <c r="AV59" s="92">
        <f t="shared" si="75"/>
        <v>2566.1592114064297</v>
      </c>
      <c r="AW59" s="92">
        <f t="shared" si="92"/>
        <v>56.094989566093204</v>
      </c>
      <c r="AX59" s="92">
        <f t="shared" si="76"/>
        <v>6522.0187795487018</v>
      </c>
      <c r="AY59" s="92">
        <f t="shared" si="77"/>
        <v>1136.4420472601942</v>
      </c>
      <c r="AZ59" s="92">
        <f t="shared" si="78"/>
        <v>0</v>
      </c>
      <c r="BA59" s="92">
        <f t="shared" si="79"/>
        <v>0</v>
      </c>
      <c r="BB59" s="92">
        <f t="shared" si="80"/>
        <v>282.79685420416752</v>
      </c>
      <c r="BC59" s="92">
        <f t="shared" si="81"/>
        <v>33.908881433359696</v>
      </c>
      <c r="BD59" s="92">
        <f t="shared" si="82"/>
        <v>525.81812034824225</v>
      </c>
      <c r="BE59" s="92">
        <f t="shared" si="83"/>
        <v>49.269141033975345</v>
      </c>
      <c r="BF59" s="92">
        <f t="shared" si="84"/>
        <v>0</v>
      </c>
      <c r="BG59" s="92">
        <f t="shared" si="85"/>
        <v>0</v>
      </c>
      <c r="BH59" s="92">
        <f t="shared" si="86"/>
        <v>555052.95863320888</v>
      </c>
      <c r="BI59" s="92">
        <f t="shared" si="87"/>
        <v>31629.665641337757</v>
      </c>
      <c r="BJ59" s="92">
        <f t="shared" si="88"/>
        <v>895555.71635714639</v>
      </c>
      <c r="BK59" s="92">
        <f t="shared" si="89"/>
        <v>71114.630267157903</v>
      </c>
      <c r="BL59" s="92">
        <f t="shared" si="90"/>
        <v>0</v>
      </c>
      <c r="BM59" s="92">
        <f t="shared" si="91"/>
        <v>0</v>
      </c>
    </row>
    <row r="60" spans="1:65" ht="10.5" x14ac:dyDescent="0.25">
      <c r="A60" s="66">
        <v>35064</v>
      </c>
      <c r="B60" s="66" t="s">
        <v>601</v>
      </c>
      <c r="C60" s="66" t="s">
        <v>597</v>
      </c>
      <c r="D60" s="67" t="s">
        <v>602</v>
      </c>
      <c r="E60" s="143"/>
      <c r="F60" s="143"/>
      <c r="G60" s="143"/>
      <c r="H60" s="91"/>
      <c r="I60" s="91"/>
      <c r="K60" s="91">
        <v>90416.211697079678</v>
      </c>
      <c r="L60" s="96">
        <v>52770.374560722768</v>
      </c>
      <c r="M60" s="100">
        <v>9355.8239984133907</v>
      </c>
      <c r="N60" s="104">
        <v>27443.828268001937</v>
      </c>
      <c r="O60" s="108">
        <v>846.18486994158138</v>
      </c>
      <c r="P60" s="112">
        <v>0</v>
      </c>
      <c r="Q60" s="116">
        <v>0</v>
      </c>
      <c r="R60" s="124">
        <f>L60*'Entrada de dades'!$B$8*'Entrada de dades'!$B$11</f>
        <v>4932.9746139363642</v>
      </c>
      <c r="S60" s="124">
        <f>M60*'Entrada de dades'!$B$8*'Entrada de dades'!$B$13</f>
        <v>590.16537781991678</v>
      </c>
      <c r="T60" s="124">
        <f>N60*'Entrada de dades'!$B$8*'Entrada de dades'!$B$12</f>
        <v>6632.6244158107074</v>
      </c>
      <c r="U60" s="124">
        <f>O60*'Entrada de dades'!$B$8*'Entrada de dades'!$B$14</f>
        <v>180.71124082472411</v>
      </c>
      <c r="V60" s="124">
        <f>P60*'Entrada de dades'!$B$8*'Entrada de dades'!$B$15</f>
        <v>0</v>
      </c>
      <c r="W60" s="124">
        <f>Q60*'Entrada de dades'!$B$8*'Entrada de dades'!$B$15</f>
        <v>0</v>
      </c>
      <c r="X60" s="124">
        <f>L60*(1-'Entrada de dades'!$B$8)*'Entrada de dades'!$B$11*('Entrada de dades'!$B$8/(1*(1/'Entrada de dades'!$B$8)))</f>
        <v>899.77456958199286</v>
      </c>
      <c r="Y60" s="124">
        <f>M60*(1-'Entrada de dades'!$B$8)*'Entrada de dades'!$B$13*('Entrada de dades'!$B$8/(1*(1/'Entrada de dades'!$B$8)))</f>
        <v>107.64616491435281</v>
      </c>
      <c r="Z60" s="124">
        <f>N60*(1-'Entrada de dades'!$B$8)*'Entrada de dades'!$B$12*('Entrada de dades'!$B$8/(1*(1/'Entrada de dades'!$B$8)))</f>
        <v>1209.7906934438731</v>
      </c>
      <c r="AA60" s="124">
        <f>O60*(1-'Entrada de dades'!$B$8)*'Entrada de dades'!$B$14*('Entrada de dades'!$B$8/(1*(1/'Entrada de dades'!$B$8)))</f>
        <v>32.961730326429688</v>
      </c>
      <c r="AB60" s="124">
        <f>P60*(1-'Entrada de dades'!$B$8)*'Entrada de dades'!$B$15*('Entrada de dades'!$B$8/(1*(1/'Entrada de dades'!$B$8)))</f>
        <v>0</v>
      </c>
      <c r="AC60" s="124">
        <f>Q60*(1-'Entrada de dades'!$B$8)*'Entrada de dades'!$B$15*('Entrada de dades'!$B$8/(1*(1/'Entrada de dades'!$B$8)))</f>
        <v>0</v>
      </c>
      <c r="AD60" s="124">
        <f t="shared" si="74"/>
        <v>5832.7491835183573</v>
      </c>
      <c r="AE60" s="124">
        <f t="shared" si="74"/>
        <v>697.81154273426955</v>
      </c>
      <c r="AF60" s="124">
        <f t="shared" si="74"/>
        <v>7842.4151092545808</v>
      </c>
      <c r="AG60" s="124">
        <f t="shared" si="74"/>
        <v>213.6729711511538</v>
      </c>
      <c r="AH60" s="124">
        <f t="shared" si="74"/>
        <v>0</v>
      </c>
      <c r="AI60" s="124">
        <f t="shared" si="74"/>
        <v>0</v>
      </c>
      <c r="AJ60" s="124">
        <f>AD60*('[1]Entrada de dades'!$B$19+'[1]Entrada de dades'!$B$20)</f>
        <v>3499.6495101110149</v>
      </c>
      <c r="AK60" s="124">
        <f>AE60*('[1]Entrada de dades'!$B$19+'[1]Entrada de dades'!$B$20)</f>
        <v>418.68692564056181</v>
      </c>
      <c r="AL60" s="124">
        <f>AF60*('[1]Entrada de dades'!$B$19+'[1]Entrada de dades'!$B$20)</f>
        <v>4705.4490655527488</v>
      </c>
      <c r="AM60" s="124">
        <f>AG60*('[1]Entrada de dades'!$B$19+'[1]Entrada de dades'!$B$20)</f>
        <v>128.20378269069229</v>
      </c>
      <c r="AN60" s="124">
        <f>AH60*('[1]Entrada de dades'!$B$19+'[1]Entrada de dades'!$B$20)</f>
        <v>0</v>
      </c>
      <c r="AO60" s="124">
        <f>AI60*('[1]Entrada de dades'!$B$19+'[1]Entrada de dades'!$B$20)</f>
        <v>0</v>
      </c>
      <c r="AP60" s="124">
        <f t="shared" si="73"/>
        <v>2333.0996734073424</v>
      </c>
      <c r="AQ60" s="124">
        <f t="shared" si="73"/>
        <v>279.12461709370774</v>
      </c>
      <c r="AR60" s="124">
        <f t="shared" si="73"/>
        <v>3136.9660437018319</v>
      </c>
      <c r="AS60" s="124">
        <f t="shared" si="73"/>
        <v>85.46918846046151</v>
      </c>
      <c r="AT60" s="124">
        <f t="shared" si="73"/>
        <v>0</v>
      </c>
      <c r="AU60" s="124">
        <f t="shared" si="72"/>
        <v>0</v>
      </c>
      <c r="AV60" s="92">
        <f t="shared" si="75"/>
        <v>4478.7347880564057</v>
      </c>
      <c r="AW60" s="92">
        <f t="shared" si="92"/>
        <v>97.902959445618009</v>
      </c>
      <c r="AX60" s="92">
        <f t="shared" si="76"/>
        <v>10480.289855403451</v>
      </c>
      <c r="AY60" s="92">
        <f t="shared" si="77"/>
        <v>2417.9618026812636</v>
      </c>
      <c r="AZ60" s="92">
        <f t="shared" si="78"/>
        <v>0</v>
      </c>
      <c r="BA60" s="92">
        <f t="shared" si="79"/>
        <v>0</v>
      </c>
      <c r="BB60" s="92">
        <f t="shared" si="80"/>
        <v>493.56723590932341</v>
      </c>
      <c r="BC60" s="92">
        <f t="shared" si="81"/>
        <v>59.1813969392934</v>
      </c>
      <c r="BD60" s="92">
        <f t="shared" si="82"/>
        <v>844.9418038710885</v>
      </c>
      <c r="BE60" s="92">
        <f t="shared" si="83"/>
        <v>104.82795964675606</v>
      </c>
      <c r="BF60" s="92">
        <f t="shared" si="84"/>
        <v>0</v>
      </c>
      <c r="BG60" s="92">
        <f t="shared" si="85"/>
        <v>0</v>
      </c>
      <c r="BH60" s="92">
        <f t="shared" si="86"/>
        <v>968737.63092887914</v>
      </c>
      <c r="BI60" s="92">
        <f t="shared" si="87"/>
        <v>55203.466415013296</v>
      </c>
      <c r="BJ60" s="92">
        <f t="shared" si="88"/>
        <v>1439076.4280712213</v>
      </c>
      <c r="BK60" s="92">
        <f t="shared" si="89"/>
        <v>151307.72397267638</v>
      </c>
      <c r="BL60" s="92">
        <f t="shared" si="90"/>
        <v>0</v>
      </c>
      <c r="BM60" s="92">
        <f t="shared" si="91"/>
        <v>0</v>
      </c>
    </row>
    <row r="61" spans="1:65" ht="10.5" x14ac:dyDescent="0.25">
      <c r="A61" s="66">
        <v>106084</v>
      </c>
      <c r="B61" s="66" t="s">
        <v>603</v>
      </c>
      <c r="C61" s="66" t="s">
        <v>597</v>
      </c>
      <c r="D61" s="67" t="s">
        <v>604</v>
      </c>
      <c r="E61" s="143"/>
      <c r="F61" s="143"/>
      <c r="G61" s="143"/>
      <c r="H61" s="91"/>
      <c r="I61" s="91"/>
      <c r="K61" s="91">
        <v>287355.9169146872</v>
      </c>
      <c r="L61" s="96">
        <v>171945.0980824435</v>
      </c>
      <c r="M61" s="100">
        <v>30484.68176397261</v>
      </c>
      <c r="N61" s="104">
        <v>79422.316944610488</v>
      </c>
      <c r="O61" s="108">
        <v>3173.1932622809304</v>
      </c>
      <c r="P61" s="112">
        <v>1566.5871718755211</v>
      </c>
      <c r="Q61" s="116">
        <v>764.03968950413696</v>
      </c>
      <c r="R61" s="124">
        <f>L61*'Entrada de dades'!$B$8*'Entrada de dades'!$B$11</f>
        <v>16073.427768746818</v>
      </c>
      <c r="S61" s="124">
        <f>M61*'Entrada de dades'!$B$8*'Entrada de dades'!$B$13</f>
        <v>1922.9737256713925</v>
      </c>
      <c r="T61" s="124">
        <f>N61*'Entrada de dades'!$B$8*'Entrada de dades'!$B$12</f>
        <v>19194.785559173462</v>
      </c>
      <c r="U61" s="124">
        <f>O61*'Entrada de dades'!$B$8*'Entrada de dades'!$B$14</f>
        <v>677.66715309271558</v>
      </c>
      <c r="V61" s="124">
        <f>P61*'Entrada de dades'!$B$8*'Entrada de dades'!$B$15</f>
        <v>191.68760635068878</v>
      </c>
      <c r="W61" s="124">
        <f>Q61*'Entrada de dades'!$B$8*'Entrada de dades'!$B$15</f>
        <v>93.487896407726211</v>
      </c>
      <c r="X61" s="124">
        <f>L61*(1-'Entrada de dades'!$B$8)*'Entrada de dades'!$B$11*('Entrada de dades'!$B$8/(1*(1/'Entrada de dades'!$B$8)))</f>
        <v>2931.7932250194199</v>
      </c>
      <c r="Y61" s="124">
        <f>M61*(1-'Entrada de dades'!$B$8)*'Entrada de dades'!$B$13*('Entrada de dades'!$B$8/(1*(1/'Entrada de dades'!$B$8)))</f>
        <v>350.75040756246193</v>
      </c>
      <c r="Z61" s="124">
        <f>N61*(1-'Entrada de dades'!$B$8)*'Entrada de dades'!$B$12*('Entrada de dades'!$B$8/(1*(1/'Entrada de dades'!$B$8)))</f>
        <v>3501.1288859932397</v>
      </c>
      <c r="AA61" s="124">
        <f>O61*(1-'Entrada de dades'!$B$8)*'Entrada de dades'!$B$14*('Entrada de dades'!$B$8/(1*(1/'Entrada de dades'!$B$8)))</f>
        <v>123.60648872411132</v>
      </c>
      <c r="AB61" s="124">
        <f>P61*(1-'Entrada de dades'!$B$8)*'Entrada de dades'!$B$15*('Entrada de dades'!$B$8/(1*(1/'Entrada de dades'!$B$8)))</f>
        <v>34.963819398365629</v>
      </c>
      <c r="AC61" s="124">
        <f>Q61*(1-'Entrada de dades'!$B$8)*'Entrada de dades'!$B$15*('Entrada de dades'!$B$8/(1*(1/'Entrada de dades'!$B$8)))</f>
        <v>17.05219230476926</v>
      </c>
      <c r="AD61" s="124">
        <f t="shared" si="74"/>
        <v>19005.220993766237</v>
      </c>
      <c r="AE61" s="124">
        <f t="shared" si="74"/>
        <v>2273.7241332338544</v>
      </c>
      <c r="AF61" s="124">
        <f t="shared" si="74"/>
        <v>22695.914445166702</v>
      </c>
      <c r="AG61" s="124">
        <f t="shared" si="74"/>
        <v>801.27364181682685</v>
      </c>
      <c r="AH61" s="124">
        <f t="shared" si="74"/>
        <v>226.6514257490544</v>
      </c>
      <c r="AI61" s="124">
        <f t="shared" si="74"/>
        <v>110.54008871249547</v>
      </c>
      <c r="AJ61" s="124">
        <f>AD61*('[1]Entrada de dades'!$B$19+'[1]Entrada de dades'!$B$20)</f>
        <v>11403.132596259744</v>
      </c>
      <c r="AK61" s="124">
        <f>AE61*('[1]Entrada de dades'!$B$19+'[1]Entrada de dades'!$B$20)</f>
        <v>1364.2344799403129</v>
      </c>
      <c r="AL61" s="124">
        <f>AF61*('[1]Entrada de dades'!$B$19+'[1]Entrada de dades'!$B$20)</f>
        <v>13617.548667100024</v>
      </c>
      <c r="AM61" s="124">
        <f>AG61*('[1]Entrada de dades'!$B$19+'[1]Entrada de dades'!$B$20)</f>
        <v>480.76418509009619</v>
      </c>
      <c r="AN61" s="124">
        <f>AH61*('[1]Entrada de dades'!$B$19+'[1]Entrada de dades'!$B$20)</f>
        <v>135.99085544943267</v>
      </c>
      <c r="AO61" s="124">
        <f>AI61*('[1]Entrada de dades'!$B$19+'[1]Entrada de dades'!$B$20)</f>
        <v>66.324053227497288</v>
      </c>
      <c r="AP61" s="124">
        <f t="shared" si="73"/>
        <v>7602.0883975064935</v>
      </c>
      <c r="AQ61" s="124">
        <f t="shared" si="73"/>
        <v>909.48965329354155</v>
      </c>
      <c r="AR61" s="124">
        <f t="shared" si="73"/>
        <v>9078.3657780666781</v>
      </c>
      <c r="AS61" s="124">
        <f t="shared" si="73"/>
        <v>320.50945672673066</v>
      </c>
      <c r="AT61" s="124">
        <f t="shared" si="73"/>
        <v>90.660570299621725</v>
      </c>
      <c r="AU61" s="124">
        <f t="shared" si="72"/>
        <v>44.216035484998187</v>
      </c>
      <c r="AV61" s="92">
        <f t="shared" si="75"/>
        <v>14593.348992273342</v>
      </c>
      <c r="AW61" s="92">
        <f t="shared" si="92"/>
        <v>319.00349589270974</v>
      </c>
      <c r="AX61" s="92">
        <f t="shared" si="76"/>
        <v>30329.912227942972</v>
      </c>
      <c r="AY61" s="92">
        <f t="shared" si="77"/>
        <v>9067.3567600547394</v>
      </c>
      <c r="AZ61" s="92">
        <f t="shared" si="78"/>
        <v>3052.9811057542174</v>
      </c>
      <c r="BA61" s="92">
        <f t="shared" si="79"/>
        <v>1488.968362551991</v>
      </c>
      <c r="BB61" s="92">
        <f t="shared" si="80"/>
        <v>1608.2218004924989</v>
      </c>
      <c r="BC61" s="92">
        <f t="shared" si="81"/>
        <v>192.8345437395632</v>
      </c>
      <c r="BD61" s="92">
        <f t="shared" si="82"/>
        <v>2445.2578223222608</v>
      </c>
      <c r="BE61" s="92">
        <f t="shared" si="83"/>
        <v>393.10484867533523</v>
      </c>
      <c r="BF61" s="92">
        <f t="shared" si="84"/>
        <v>126.10885328677386</v>
      </c>
      <c r="BG61" s="92">
        <f t="shared" si="85"/>
        <v>61.504505359632475</v>
      </c>
      <c r="BH61" s="92">
        <f t="shared" si="86"/>
        <v>3156499.9936574004</v>
      </c>
      <c r="BI61" s="92">
        <f t="shared" si="87"/>
        <v>179872.997420133</v>
      </c>
      <c r="BJ61" s="92">
        <f t="shared" si="88"/>
        <v>4164680.7822016673</v>
      </c>
      <c r="BK61" s="92">
        <f t="shared" si="89"/>
        <v>567403.96489753644</v>
      </c>
      <c r="BL61" s="92">
        <f t="shared" si="90"/>
        <v>181156.74578711926</v>
      </c>
      <c r="BM61" s="92">
        <f t="shared" si="91"/>
        <v>88351.894032851429</v>
      </c>
    </row>
    <row r="62" spans="1:65" ht="10.5" x14ac:dyDescent="0.25">
      <c r="A62" s="66">
        <v>135436</v>
      </c>
      <c r="B62" s="66" t="s">
        <v>605</v>
      </c>
      <c r="C62" s="66" t="s">
        <v>597</v>
      </c>
      <c r="D62" s="67" t="s">
        <v>597</v>
      </c>
      <c r="E62" s="143"/>
      <c r="F62" s="143"/>
      <c r="G62" s="143"/>
      <c r="H62" s="91"/>
      <c r="I62" s="91"/>
      <c r="K62" s="91">
        <v>347847.73172919988</v>
      </c>
      <c r="L62" s="96">
        <v>223347.69620506183</v>
      </c>
      <c r="M62" s="100">
        <v>39598.008419310347</v>
      </c>
      <c r="N62" s="104">
        <v>78496.672625711988</v>
      </c>
      <c r="O62" s="108">
        <v>3401.6631771651573</v>
      </c>
      <c r="P62" s="112">
        <v>2019.0037023448183</v>
      </c>
      <c r="Q62" s="116">
        <v>984.68759960573118</v>
      </c>
      <c r="R62" s="124">
        <f>L62*'Entrada de dades'!$B$8*'Entrada de dades'!$B$11</f>
        <v>20878.54264124918</v>
      </c>
      <c r="S62" s="124">
        <f>M62*'Entrada de dades'!$B$8*'Entrada de dades'!$B$13</f>
        <v>2497.842371090097</v>
      </c>
      <c r="T62" s="124">
        <f>N62*'Entrada de dades'!$B$8*'Entrada de dades'!$B$12</f>
        <v>18971.075840182075</v>
      </c>
      <c r="U62" s="124">
        <f>O62*'Entrada de dades'!$B$8*'Entrada de dades'!$B$14</f>
        <v>726.45918811539104</v>
      </c>
      <c r="V62" s="124">
        <f>P62*'Entrada de dades'!$B$8*'Entrada de dades'!$B$15</f>
        <v>247.04529301891196</v>
      </c>
      <c r="W62" s="124">
        <f>Q62*'Entrada de dades'!$B$8*'Entrada de dades'!$B$15</f>
        <v>120.48637468775728</v>
      </c>
      <c r="X62" s="124">
        <f>L62*(1-'Entrada de dades'!$B$8)*'Entrada de dades'!$B$11*('Entrada de dades'!$B$8/(1*(1/'Entrada de dades'!$B$8)))</f>
        <v>3808.24617776385</v>
      </c>
      <c r="Y62" s="124">
        <f>M62*(1-'Entrada de dades'!$B$8)*'Entrada de dades'!$B$13*('Entrada de dades'!$B$8/(1*(1/'Entrada de dades'!$B$8)))</f>
        <v>455.60644848683364</v>
      </c>
      <c r="Z62" s="124">
        <f>N62*(1-'Entrada de dades'!$B$8)*'Entrada de dades'!$B$12*('Entrada de dades'!$B$8/(1*(1/'Entrada de dades'!$B$8)))</f>
        <v>3460.3242332492105</v>
      </c>
      <c r="AA62" s="124">
        <f>O62*(1-'Entrada de dades'!$B$8)*'Entrada de dades'!$B$14*('Entrada de dades'!$B$8/(1*(1/'Entrada de dades'!$B$8)))</f>
        <v>132.50615591224732</v>
      </c>
      <c r="AB62" s="124">
        <f>P62*(1-'Entrada de dades'!$B$8)*'Entrada de dades'!$B$15*('Entrada de dades'!$B$8/(1*(1/'Entrada de dades'!$B$8)))</f>
        <v>45.061061446649539</v>
      </c>
      <c r="AC62" s="124">
        <f>Q62*(1-'Entrada de dades'!$B$8)*'Entrada de dades'!$B$15*('Entrada de dades'!$B$8/(1*(1/'Entrada de dades'!$B$8)))</f>
        <v>21.976714743046923</v>
      </c>
      <c r="AD62" s="124">
        <f t="shared" si="74"/>
        <v>24686.788819013029</v>
      </c>
      <c r="AE62" s="124">
        <f t="shared" si="74"/>
        <v>2953.4488195769309</v>
      </c>
      <c r="AF62" s="124">
        <f t="shared" si="74"/>
        <v>22431.400073431287</v>
      </c>
      <c r="AG62" s="124">
        <f t="shared" si="74"/>
        <v>858.96534402763837</v>
      </c>
      <c r="AH62" s="124">
        <f t="shared" si="74"/>
        <v>292.10635446556148</v>
      </c>
      <c r="AI62" s="124">
        <f t="shared" si="74"/>
        <v>142.46308943080419</v>
      </c>
      <c r="AJ62" s="124">
        <f>AD62*('[1]Entrada de dades'!$B$19+'[1]Entrada de dades'!$B$20)</f>
        <v>14812.07329140782</v>
      </c>
      <c r="AK62" s="124">
        <f>AE62*('[1]Entrada de dades'!$B$19+'[1]Entrada de dades'!$B$20)</f>
        <v>1772.0692917461588</v>
      </c>
      <c r="AL62" s="124">
        <f>AF62*('[1]Entrada de dades'!$B$19+'[1]Entrada de dades'!$B$20)</f>
        <v>13458.840044058774</v>
      </c>
      <c r="AM62" s="124">
        <f>AG62*('[1]Entrada de dades'!$B$19+'[1]Entrada de dades'!$B$20)</f>
        <v>515.37920641658309</v>
      </c>
      <c r="AN62" s="124">
        <f>AH62*('[1]Entrada de dades'!$B$19+'[1]Entrada de dades'!$B$20)</f>
        <v>175.26381267933692</v>
      </c>
      <c r="AO62" s="124">
        <f>AI62*('[1]Entrada de dades'!$B$19+'[1]Entrada de dades'!$B$20)</f>
        <v>85.47785365848253</v>
      </c>
      <c r="AP62" s="124">
        <f t="shared" si="73"/>
        <v>9874.715527605209</v>
      </c>
      <c r="AQ62" s="124">
        <f t="shared" si="73"/>
        <v>1181.3795278307721</v>
      </c>
      <c r="AR62" s="124">
        <f t="shared" si="73"/>
        <v>8972.5600293725129</v>
      </c>
      <c r="AS62" s="124">
        <f t="shared" si="73"/>
        <v>343.58613761105528</v>
      </c>
      <c r="AT62" s="124">
        <f t="shared" si="73"/>
        <v>116.84254178622456</v>
      </c>
      <c r="AU62" s="124">
        <f t="shared" si="72"/>
        <v>56.985235772321658</v>
      </c>
      <c r="AV62" s="92">
        <f t="shared" si="75"/>
        <v>18955.997662567344</v>
      </c>
      <c r="AW62" s="92">
        <f t="shared" si="92"/>
        <v>414.36886938664333</v>
      </c>
      <c r="AX62" s="92">
        <f t="shared" si="76"/>
        <v>29976.425802130638</v>
      </c>
      <c r="AY62" s="92">
        <f t="shared" si="77"/>
        <v>9720.2064467786804</v>
      </c>
      <c r="AZ62" s="92">
        <f t="shared" si="78"/>
        <v>3934.6550682698453</v>
      </c>
      <c r="BA62" s="92">
        <f t="shared" si="79"/>
        <v>1918.9692668475664</v>
      </c>
      <c r="BB62" s="92">
        <f t="shared" si="80"/>
        <v>2088.9960698648824</v>
      </c>
      <c r="BC62" s="92">
        <f t="shared" si="81"/>
        <v>250.48199438831949</v>
      </c>
      <c r="BD62" s="92">
        <f t="shared" si="82"/>
        <v>2416.759043911487</v>
      </c>
      <c r="BE62" s="92">
        <f t="shared" si="83"/>
        <v>421.40839777995939</v>
      </c>
      <c r="BF62" s="92">
        <f t="shared" si="84"/>
        <v>162.5279756246384</v>
      </c>
      <c r="BG62" s="92">
        <f t="shared" si="85"/>
        <v>79.266462959299446</v>
      </c>
      <c r="BH62" s="92">
        <f t="shared" si="86"/>
        <v>4100128.5265872697</v>
      </c>
      <c r="BI62" s="92">
        <f t="shared" si="87"/>
        <v>233645.62311641569</v>
      </c>
      <c r="BJ62" s="92">
        <f t="shared" si="88"/>
        <v>4116142.6224705777</v>
      </c>
      <c r="BK62" s="92">
        <f t="shared" si="89"/>
        <v>608257.05037015909</v>
      </c>
      <c r="BL62" s="92">
        <f t="shared" si="90"/>
        <v>233473.21299142824</v>
      </c>
      <c r="BM62" s="92">
        <f t="shared" si="91"/>
        <v>113867.14021661741</v>
      </c>
    </row>
    <row r="63" spans="1:65" ht="10.5" x14ac:dyDescent="0.25">
      <c r="A63" s="66">
        <v>33572</v>
      </c>
      <c r="B63" s="66" t="s">
        <v>606</v>
      </c>
      <c r="C63" s="66" t="s">
        <v>597</v>
      </c>
      <c r="D63" s="67" t="s">
        <v>607</v>
      </c>
      <c r="E63" s="143"/>
      <c r="F63" s="143"/>
      <c r="G63" s="143"/>
      <c r="H63" s="91"/>
      <c r="I63" s="91"/>
      <c r="K63" s="91">
        <v>99578.732645745898</v>
      </c>
      <c r="L63" s="96">
        <v>47854.802502026076</v>
      </c>
      <c r="M63" s="100">
        <v>8484.3269242403585</v>
      </c>
      <c r="N63" s="104">
        <v>41572.619025694556</v>
      </c>
      <c r="O63" s="108">
        <v>1666.9841937849153</v>
      </c>
      <c r="P63" s="112">
        <v>0</v>
      </c>
      <c r="Q63" s="116">
        <v>0</v>
      </c>
      <c r="R63" s="124">
        <f>L63*'Entrada de dades'!$B$8*'Entrada de dades'!$B$11</f>
        <v>4473.4669378893968</v>
      </c>
      <c r="S63" s="124">
        <f>M63*'Entrada de dades'!$B$8*'Entrada de dades'!$B$13</f>
        <v>535.19134238108188</v>
      </c>
      <c r="T63" s="124">
        <f>N63*'Entrada de dades'!$B$8*'Entrada de dades'!$B$12</f>
        <v>10047.270566129861</v>
      </c>
      <c r="U63" s="124">
        <f>O63*'Entrada de dades'!$B$8*'Entrada de dades'!$B$14</f>
        <v>356.00114442470652</v>
      </c>
      <c r="V63" s="124">
        <f>P63*'Entrada de dades'!$B$8*'Entrada de dades'!$B$15</f>
        <v>0</v>
      </c>
      <c r="W63" s="124">
        <f>Q63*'Entrada de dades'!$B$8*'Entrada de dades'!$B$15</f>
        <v>0</v>
      </c>
      <c r="X63" s="124">
        <f>L63*(1-'Entrada de dades'!$B$8)*'Entrada de dades'!$B$11*('Entrada de dades'!$B$8/(1*(1/'Entrada de dades'!$B$8)))</f>
        <v>815.96036947102607</v>
      </c>
      <c r="Y63" s="124">
        <f>M63*(1-'Entrada de dades'!$B$8)*'Entrada de dades'!$B$13*('Entrada de dades'!$B$8/(1*(1/'Entrada de dades'!$B$8)))</f>
        <v>97.618900850309331</v>
      </c>
      <c r="Z63" s="124">
        <f>N63*(1-'Entrada de dades'!$B$8)*'Entrada de dades'!$B$12*('Entrada de dades'!$B$8/(1*(1/'Entrada de dades'!$B$8)))</f>
        <v>1832.6221512620866</v>
      </c>
      <c r="AA63" s="124">
        <f>O63*(1-'Entrada de dades'!$B$8)*'Entrada de dades'!$B$14*('Entrada de dades'!$B$8/(1*(1/'Entrada de dades'!$B$8)))</f>
        <v>64.934608743066462</v>
      </c>
      <c r="AB63" s="124">
        <f>P63*(1-'Entrada de dades'!$B$8)*'Entrada de dades'!$B$15*('Entrada de dades'!$B$8/(1*(1/'Entrada de dades'!$B$8)))</f>
        <v>0</v>
      </c>
      <c r="AC63" s="124">
        <f>Q63*(1-'Entrada de dades'!$B$8)*'Entrada de dades'!$B$15*('Entrada de dades'!$B$8/(1*(1/'Entrada de dades'!$B$8)))</f>
        <v>0</v>
      </c>
      <c r="AD63" s="124">
        <f t="shared" si="74"/>
        <v>5289.4273073604227</v>
      </c>
      <c r="AE63" s="124">
        <f t="shared" si="74"/>
        <v>632.81024323139127</v>
      </c>
      <c r="AF63" s="124">
        <f t="shared" si="74"/>
        <v>11879.892717391947</v>
      </c>
      <c r="AG63" s="124">
        <f t="shared" si="74"/>
        <v>420.93575316777299</v>
      </c>
      <c r="AH63" s="124">
        <f t="shared" si="74"/>
        <v>0</v>
      </c>
      <c r="AI63" s="124">
        <f t="shared" si="74"/>
        <v>0</v>
      </c>
      <c r="AJ63" s="124">
        <f>AD63*('[1]Entrada de dades'!$B$19+'[1]Entrada de dades'!$B$20)</f>
        <v>3173.6563844162542</v>
      </c>
      <c r="AK63" s="124">
        <f>AE63*('[1]Entrada de dades'!$B$19+'[1]Entrada de dades'!$B$20)</f>
        <v>379.68614593883484</v>
      </c>
      <c r="AL63" s="124">
        <f>AF63*('[1]Entrada de dades'!$B$19+'[1]Entrada de dades'!$B$20)</f>
        <v>7127.9356304351695</v>
      </c>
      <c r="AM63" s="124">
        <f>AG63*('[1]Entrada de dades'!$B$19+'[1]Entrada de dades'!$B$20)</f>
        <v>252.56145190066383</v>
      </c>
      <c r="AN63" s="124">
        <f>AH63*('[1]Entrada de dades'!$B$19+'[1]Entrada de dades'!$B$20)</f>
        <v>0</v>
      </c>
      <c r="AO63" s="124">
        <f>AI63*('[1]Entrada de dades'!$B$19+'[1]Entrada de dades'!$B$20)</f>
        <v>0</v>
      </c>
      <c r="AP63" s="124">
        <f t="shared" si="73"/>
        <v>2115.7709229441684</v>
      </c>
      <c r="AQ63" s="124">
        <f t="shared" si="73"/>
        <v>253.12409729255643</v>
      </c>
      <c r="AR63" s="124">
        <f t="shared" si="73"/>
        <v>4751.9570869567779</v>
      </c>
      <c r="AS63" s="124">
        <f t="shared" si="73"/>
        <v>168.37430126710916</v>
      </c>
      <c r="AT63" s="124">
        <f t="shared" si="73"/>
        <v>0</v>
      </c>
      <c r="AU63" s="124">
        <f t="shared" si="72"/>
        <v>0</v>
      </c>
      <c r="AV63" s="92">
        <f t="shared" si="75"/>
        <v>4061.5396522297742</v>
      </c>
      <c r="AW63" s="92">
        <f t="shared" si="92"/>
        <v>88.783277125364179</v>
      </c>
      <c r="AX63" s="92">
        <f t="shared" si="76"/>
        <v>15875.813431813905</v>
      </c>
      <c r="AY63" s="92">
        <f t="shared" si="77"/>
        <v>4763.3847512820894</v>
      </c>
      <c r="AZ63" s="92">
        <f t="shared" si="78"/>
        <v>0</v>
      </c>
      <c r="BA63" s="92">
        <f t="shared" si="79"/>
        <v>0</v>
      </c>
      <c r="BB63" s="92">
        <f t="shared" si="80"/>
        <v>447.59133874883901</v>
      </c>
      <c r="BC63" s="92">
        <f t="shared" si="81"/>
        <v>53.668636728454288</v>
      </c>
      <c r="BD63" s="92">
        <f t="shared" si="82"/>
        <v>1279.9396413718086</v>
      </c>
      <c r="BE63" s="92">
        <f t="shared" si="83"/>
        <v>206.51108050410943</v>
      </c>
      <c r="BF63" s="92">
        <f t="shared" si="84"/>
        <v>0</v>
      </c>
      <c r="BG63" s="92">
        <f t="shared" si="85"/>
        <v>0</v>
      </c>
      <c r="BH63" s="92">
        <f t="shared" si="86"/>
        <v>878499.5064046249</v>
      </c>
      <c r="BI63" s="92">
        <f t="shared" si="87"/>
        <v>50061.251312094304</v>
      </c>
      <c r="BJ63" s="92">
        <f t="shared" si="88"/>
        <v>2179950.0969336852</v>
      </c>
      <c r="BK63" s="92">
        <f t="shared" si="89"/>
        <v>298076.2162261724</v>
      </c>
      <c r="BL63" s="92">
        <f t="shared" si="90"/>
        <v>0</v>
      </c>
      <c r="BM63" s="92">
        <f t="shared" si="91"/>
        <v>0</v>
      </c>
    </row>
    <row r="64" spans="1:65" ht="10.5" x14ac:dyDescent="0.25">
      <c r="A64" s="66">
        <v>24553</v>
      </c>
      <c r="B64" s="66" t="s">
        <v>608</v>
      </c>
      <c r="C64" s="66" t="s">
        <v>597</v>
      </c>
      <c r="D64" s="67" t="s">
        <v>609</v>
      </c>
      <c r="E64" s="143"/>
      <c r="F64" s="143"/>
      <c r="G64" s="143"/>
      <c r="H64" s="91"/>
      <c r="I64" s="91"/>
      <c r="K64" s="91">
        <v>65601.412468948198</v>
      </c>
      <c r="L64" s="96">
        <v>35059.86206523369</v>
      </c>
      <c r="M64" s="100">
        <v>6215.8720990985512</v>
      </c>
      <c r="N64" s="104">
        <v>23090.248394501257</v>
      </c>
      <c r="O64" s="108">
        <v>1235.4299101147087</v>
      </c>
      <c r="P64" s="112">
        <v>0</v>
      </c>
      <c r="Q64" s="116">
        <v>0</v>
      </c>
      <c r="R64" s="124">
        <f>L64*'Entrada de dades'!$B$8*'Entrada de dades'!$B$11</f>
        <v>3277.3959058580454</v>
      </c>
      <c r="S64" s="124">
        <f>M64*'Entrada de dades'!$B$8*'Entrada de dades'!$B$13</f>
        <v>392.09721201113661</v>
      </c>
      <c r="T64" s="124">
        <f>N64*'Entrada de dades'!$B$8*'Entrada de dades'!$B$12</f>
        <v>5580.4512319830637</v>
      </c>
      <c r="U64" s="124">
        <f>O64*'Entrada de dades'!$B$8*'Entrada de dades'!$B$14</f>
        <v>263.83841160409725</v>
      </c>
      <c r="V64" s="124">
        <f>P64*'Entrada de dades'!$B$8*'Entrada de dades'!$B$15</f>
        <v>0</v>
      </c>
      <c r="W64" s="124">
        <f>Q64*'Entrada de dades'!$B$8*'Entrada de dades'!$B$15</f>
        <v>0</v>
      </c>
      <c r="X64" s="124">
        <f>L64*(1-'Entrada de dades'!$B$8)*'Entrada de dades'!$B$11*('Entrada de dades'!$B$8/(1*(1/'Entrada de dades'!$B$8)))</f>
        <v>597.79701322850735</v>
      </c>
      <c r="Y64" s="124">
        <f>M64*(1-'Entrada de dades'!$B$8)*'Entrada de dades'!$B$13*('Entrada de dades'!$B$8/(1*(1/'Entrada de dades'!$B$8)))</f>
        <v>71.51853147083132</v>
      </c>
      <c r="Z64" s="124">
        <f>N64*(1-'Entrada de dades'!$B$8)*'Entrada de dades'!$B$12*('Entrada de dades'!$B$8/(1*(1/'Entrada de dades'!$B$8)))</f>
        <v>1017.8743047137108</v>
      </c>
      <c r="AA64" s="124">
        <f>O64*(1-'Entrada de dades'!$B$8)*'Entrada de dades'!$B$14*('Entrada de dades'!$B$8/(1*(1/'Entrada de dades'!$B$8)))</f>
        <v>48.124126276587333</v>
      </c>
      <c r="AB64" s="124">
        <f>P64*(1-'Entrada de dades'!$B$8)*'Entrada de dades'!$B$15*('Entrada de dades'!$B$8/(1*(1/'Entrada de dades'!$B$8)))</f>
        <v>0</v>
      </c>
      <c r="AC64" s="124">
        <f>Q64*(1-'Entrada de dades'!$B$8)*'Entrada de dades'!$B$15*('Entrada de dades'!$B$8/(1*(1/'Entrada de dades'!$B$8)))</f>
        <v>0</v>
      </c>
      <c r="AD64" s="124">
        <f t="shared" si="74"/>
        <v>3875.1929190865526</v>
      </c>
      <c r="AE64" s="124">
        <f t="shared" si="74"/>
        <v>463.61574348196791</v>
      </c>
      <c r="AF64" s="124">
        <f t="shared" si="74"/>
        <v>6598.3255366967742</v>
      </c>
      <c r="AG64" s="124">
        <f t="shared" si="74"/>
        <v>311.96253788068458</v>
      </c>
      <c r="AH64" s="124">
        <f t="shared" si="74"/>
        <v>0</v>
      </c>
      <c r="AI64" s="124">
        <f t="shared" si="74"/>
        <v>0</v>
      </c>
      <c r="AJ64" s="124">
        <f>AD64*('[1]Entrada de dades'!$B$19+'[1]Entrada de dades'!$B$20)</f>
        <v>2325.1157514519318</v>
      </c>
      <c r="AK64" s="124">
        <f>AE64*('[1]Entrada de dades'!$B$19+'[1]Entrada de dades'!$B$20)</f>
        <v>278.16944608918078</v>
      </c>
      <c r="AL64" s="124">
        <f>AF64*('[1]Entrada de dades'!$B$19+'[1]Entrada de dades'!$B$20)</f>
        <v>3958.9953220180651</v>
      </c>
      <c r="AM64" s="124">
        <f>AG64*('[1]Entrada de dades'!$B$19+'[1]Entrada de dades'!$B$20)</f>
        <v>187.17752272841076</v>
      </c>
      <c r="AN64" s="124">
        <f>AH64*('[1]Entrada de dades'!$B$19+'[1]Entrada de dades'!$B$20)</f>
        <v>0</v>
      </c>
      <c r="AO64" s="124">
        <f>AI64*('[1]Entrada de dades'!$B$19+'[1]Entrada de dades'!$B$20)</f>
        <v>0</v>
      </c>
      <c r="AP64" s="124">
        <f t="shared" si="73"/>
        <v>1550.0771676346208</v>
      </c>
      <c r="AQ64" s="124">
        <f t="shared" si="73"/>
        <v>185.44629739278713</v>
      </c>
      <c r="AR64" s="124">
        <f t="shared" si="73"/>
        <v>2639.3302146787091</v>
      </c>
      <c r="AS64" s="124">
        <f t="shared" si="73"/>
        <v>124.78501515227381</v>
      </c>
      <c r="AT64" s="124">
        <f t="shared" si="73"/>
        <v>0</v>
      </c>
      <c r="AU64" s="124">
        <f t="shared" si="72"/>
        <v>0</v>
      </c>
      <c r="AV64" s="92">
        <f t="shared" si="75"/>
        <v>2975.6056348498005</v>
      </c>
      <c r="AW64" s="92">
        <f t="shared" si="92"/>
        <v>65.045288810520091</v>
      </c>
      <c r="AX64" s="92">
        <f t="shared" si="76"/>
        <v>8817.7383142201033</v>
      </c>
      <c r="AY64" s="92">
        <f t="shared" si="77"/>
        <v>3530.2242319146453</v>
      </c>
      <c r="AZ64" s="92">
        <f t="shared" si="78"/>
        <v>0</v>
      </c>
      <c r="BA64" s="92">
        <f t="shared" si="79"/>
        <v>0</v>
      </c>
      <c r="BB64" s="92">
        <f t="shared" si="80"/>
        <v>327.91882481310404</v>
      </c>
      <c r="BC64" s="92">
        <f t="shared" si="81"/>
        <v>39.319251204705694</v>
      </c>
      <c r="BD64" s="92">
        <f t="shared" si="82"/>
        <v>710.90359332371054</v>
      </c>
      <c r="BE64" s="92">
        <f t="shared" si="83"/>
        <v>153.04882108426386</v>
      </c>
      <c r="BF64" s="92">
        <f t="shared" si="84"/>
        <v>0</v>
      </c>
      <c r="BG64" s="92">
        <f t="shared" si="85"/>
        <v>0</v>
      </c>
      <c r="BH64" s="92">
        <f t="shared" si="86"/>
        <v>643615.05864783411</v>
      </c>
      <c r="BI64" s="92">
        <f t="shared" si="87"/>
        <v>36676.372569727268</v>
      </c>
      <c r="BJ64" s="92">
        <f t="shared" si="88"/>
        <v>1210787.0614238963</v>
      </c>
      <c r="BK64" s="92">
        <f t="shared" si="89"/>
        <v>220909.27700010751</v>
      </c>
      <c r="BL64" s="92">
        <f t="shared" si="90"/>
        <v>0</v>
      </c>
      <c r="BM64" s="92">
        <f t="shared" si="91"/>
        <v>0</v>
      </c>
    </row>
    <row r="65" spans="1:65" ht="10.5" x14ac:dyDescent="0.25">
      <c r="A65" s="66">
        <v>38891</v>
      </c>
      <c r="B65" s="66" t="s">
        <v>610</v>
      </c>
      <c r="C65" s="66" t="s">
        <v>597</v>
      </c>
      <c r="D65" s="67" t="s">
        <v>611</v>
      </c>
      <c r="E65" s="143"/>
      <c r="F65" s="143"/>
      <c r="G65" s="143"/>
      <c r="H65" s="91"/>
      <c r="I65" s="91"/>
      <c r="K65" s="91">
        <v>79094.651755268162</v>
      </c>
      <c r="L65" s="96">
        <v>43321.13941054351</v>
      </c>
      <c r="M65" s="100">
        <v>7680.5396798802612</v>
      </c>
      <c r="N65" s="104">
        <v>27026.779728717993</v>
      </c>
      <c r="O65" s="108">
        <v>1066.1929361263926</v>
      </c>
      <c r="P65" s="112">
        <v>0</v>
      </c>
      <c r="Q65" s="116">
        <v>0</v>
      </c>
      <c r="R65" s="124">
        <f>L65*'Entrada de dades'!$B$8*'Entrada de dades'!$B$11</f>
        <v>4049.660112097607</v>
      </c>
      <c r="S65" s="124">
        <f>M65*'Entrada de dades'!$B$8*'Entrada de dades'!$B$13</f>
        <v>484.48844300684692</v>
      </c>
      <c r="T65" s="124">
        <f>N65*'Entrada de dades'!$B$8*'Entrada de dades'!$B$12</f>
        <v>6531.8321248365646</v>
      </c>
      <c r="U65" s="124">
        <f>O65*'Entrada de dades'!$B$8*'Entrada de dades'!$B$14</f>
        <v>227.69616343915243</v>
      </c>
      <c r="V65" s="124">
        <f>P65*'Entrada de dades'!$B$8*'Entrada de dades'!$B$15</f>
        <v>0</v>
      </c>
      <c r="W65" s="124">
        <f>Q65*'Entrada de dades'!$B$8*'Entrada de dades'!$B$15</f>
        <v>0</v>
      </c>
      <c r="X65" s="124">
        <f>L65*(1-'Entrada de dades'!$B$8)*'Entrada de dades'!$B$11*('Entrada de dades'!$B$8/(1*(1/'Entrada de dades'!$B$8)))</f>
        <v>738.65800444660351</v>
      </c>
      <c r="Y65" s="124">
        <f>M65*(1-'Entrada de dades'!$B$8)*'Entrada de dades'!$B$13*('Entrada de dades'!$B$8/(1*(1/'Entrada de dades'!$B$8)))</f>
        <v>88.37069200444887</v>
      </c>
      <c r="Z65" s="124">
        <f>N65*(1-'Entrada de dades'!$B$8)*'Entrada de dades'!$B$12*('Entrada de dades'!$B$8/(1*(1/'Entrada de dades'!$B$8)))</f>
        <v>1191.4061795701896</v>
      </c>
      <c r="AA65" s="124">
        <f>O65*(1-'Entrada de dades'!$B$8)*'Entrada de dades'!$B$14*('Entrada de dades'!$B$8/(1*(1/'Entrada de dades'!$B$8)))</f>
        <v>41.531780211301403</v>
      </c>
      <c r="AB65" s="124">
        <f>P65*(1-'Entrada de dades'!$B$8)*'Entrada de dades'!$B$15*('Entrada de dades'!$B$8/(1*(1/'Entrada de dades'!$B$8)))</f>
        <v>0</v>
      </c>
      <c r="AC65" s="124">
        <f>Q65*(1-'Entrada de dades'!$B$8)*'Entrada de dades'!$B$15*('Entrada de dades'!$B$8/(1*(1/'Entrada de dades'!$B$8)))</f>
        <v>0</v>
      </c>
      <c r="AD65" s="124">
        <f t="shared" si="74"/>
        <v>4788.3181165442102</v>
      </c>
      <c r="AE65" s="124">
        <f t="shared" si="74"/>
        <v>572.85913501129585</v>
      </c>
      <c r="AF65" s="124">
        <f t="shared" si="74"/>
        <v>7723.2383044067537</v>
      </c>
      <c r="AG65" s="124">
        <f t="shared" si="74"/>
        <v>269.22794365045382</v>
      </c>
      <c r="AH65" s="124">
        <f t="shared" si="74"/>
        <v>0</v>
      </c>
      <c r="AI65" s="124">
        <f t="shared" si="74"/>
        <v>0</v>
      </c>
      <c r="AJ65" s="124">
        <f>AD65*('[1]Entrada de dades'!$B$19+'[1]Entrada de dades'!$B$20)</f>
        <v>2872.9908699265266</v>
      </c>
      <c r="AK65" s="124">
        <f>AE65*('[1]Entrada de dades'!$B$19+'[1]Entrada de dades'!$B$20)</f>
        <v>343.71548100677757</v>
      </c>
      <c r="AL65" s="124">
        <f>AF65*('[1]Entrada de dades'!$B$19+'[1]Entrada de dades'!$B$20)</f>
        <v>4633.9429826440528</v>
      </c>
      <c r="AM65" s="124">
        <f>AG65*('[1]Entrada de dades'!$B$19+'[1]Entrada de dades'!$B$20)</f>
        <v>161.53676619027232</v>
      </c>
      <c r="AN65" s="124">
        <f>AH65*('[1]Entrada de dades'!$B$19+'[1]Entrada de dades'!$B$20)</f>
        <v>0</v>
      </c>
      <c r="AO65" s="124">
        <f>AI65*('[1]Entrada de dades'!$B$19+'[1]Entrada de dades'!$B$20)</f>
        <v>0</v>
      </c>
      <c r="AP65" s="124">
        <f t="shared" si="73"/>
        <v>1915.3272466176836</v>
      </c>
      <c r="AQ65" s="124">
        <f t="shared" si="73"/>
        <v>229.14365400451828</v>
      </c>
      <c r="AR65" s="124">
        <f t="shared" si="73"/>
        <v>3089.295321762701</v>
      </c>
      <c r="AS65" s="124">
        <f t="shared" si="73"/>
        <v>107.69117746018151</v>
      </c>
      <c r="AT65" s="124">
        <f t="shared" si="73"/>
        <v>0</v>
      </c>
      <c r="AU65" s="124">
        <f t="shared" si="72"/>
        <v>0</v>
      </c>
      <c r="AV65" s="92">
        <f t="shared" si="75"/>
        <v>3676.7579489696373</v>
      </c>
      <c r="AW65" s="92">
        <f t="shared" si="92"/>
        <v>80.372136642084797</v>
      </c>
      <c r="AX65" s="92">
        <f t="shared" si="76"/>
        <v>10321.026740477011</v>
      </c>
      <c r="AY65" s="92">
        <f t="shared" si="77"/>
        <v>3046.631871378393</v>
      </c>
      <c r="AZ65" s="92">
        <f t="shared" si="78"/>
        <v>0</v>
      </c>
      <c r="BA65" s="92">
        <f t="shared" si="79"/>
        <v>0</v>
      </c>
      <c r="BB65" s="92">
        <f t="shared" si="80"/>
        <v>405.18747902197106</v>
      </c>
      <c r="BC65" s="92">
        <f t="shared" si="81"/>
        <v>48.584183240308001</v>
      </c>
      <c r="BD65" s="92">
        <f t="shared" si="82"/>
        <v>832.10169491678357</v>
      </c>
      <c r="BE65" s="92">
        <f t="shared" si="83"/>
        <v>132.08322915491266</v>
      </c>
      <c r="BF65" s="92">
        <f t="shared" si="84"/>
        <v>0</v>
      </c>
      <c r="BG65" s="92">
        <f t="shared" si="85"/>
        <v>0</v>
      </c>
      <c r="BH65" s="92">
        <f t="shared" si="86"/>
        <v>795272.31540527486</v>
      </c>
      <c r="BI65" s="92">
        <f t="shared" si="87"/>
        <v>45318.553912445321</v>
      </c>
      <c r="BJ65" s="92">
        <f t="shared" si="88"/>
        <v>1417207.5868736976</v>
      </c>
      <c r="BK65" s="92">
        <f t="shared" si="89"/>
        <v>190647.73220557225</v>
      </c>
      <c r="BL65" s="92">
        <f t="shared" si="90"/>
        <v>0</v>
      </c>
      <c r="BM65" s="92">
        <f t="shared" si="91"/>
        <v>0</v>
      </c>
    </row>
    <row r="66" spans="1:65" ht="10.5" x14ac:dyDescent="0.25">
      <c r="A66" s="66">
        <v>22522</v>
      </c>
      <c r="B66" s="66" t="s">
        <v>612</v>
      </c>
      <c r="C66" s="66" t="s">
        <v>597</v>
      </c>
      <c r="D66" s="67" t="s">
        <v>613</v>
      </c>
      <c r="E66" s="143"/>
      <c r="F66" s="143"/>
      <c r="G66" s="143"/>
      <c r="H66" s="91"/>
      <c r="I66" s="91"/>
      <c r="K66" s="91">
        <v>56835.052855471375</v>
      </c>
      <c r="L66" s="96">
        <v>33690.173218121243</v>
      </c>
      <c r="M66" s="100">
        <v>5973.0356990758801</v>
      </c>
      <c r="N66" s="104">
        <v>16173.345791743172</v>
      </c>
      <c r="O66" s="108">
        <v>998.49814653106603</v>
      </c>
      <c r="P66" s="112">
        <v>0</v>
      </c>
      <c r="Q66" s="116">
        <v>0</v>
      </c>
      <c r="R66" s="124">
        <f>L66*'Entrada de dades'!$B$8*'Entrada de dades'!$B$11</f>
        <v>3149.357392429974</v>
      </c>
      <c r="S66" s="124">
        <f>M66*'Entrada de dades'!$B$8*'Entrada de dades'!$B$13</f>
        <v>376.77909189770651</v>
      </c>
      <c r="T66" s="124">
        <f>N66*'Entrada de dades'!$B$8*'Entrada de dades'!$B$12</f>
        <v>3908.7742109484902</v>
      </c>
      <c r="U66" s="124">
        <f>O66*'Entrada de dades'!$B$8*'Entrada de dades'!$B$14</f>
        <v>213.23926417317449</v>
      </c>
      <c r="V66" s="124">
        <f>P66*'Entrada de dades'!$B$8*'Entrada de dades'!$B$15</f>
        <v>0</v>
      </c>
      <c r="W66" s="124">
        <f>Q66*'Entrada de dades'!$B$8*'Entrada de dades'!$B$15</f>
        <v>0</v>
      </c>
      <c r="X66" s="124">
        <f>L66*(1-'Entrada de dades'!$B$8)*'Entrada de dades'!$B$11*('Entrada de dades'!$B$8/(1*(1/'Entrada de dades'!$B$8)))</f>
        <v>574.44278837922718</v>
      </c>
      <c r="Y66" s="124">
        <f>M66*(1-'Entrada de dades'!$B$8)*'Entrada de dades'!$B$13*('Entrada de dades'!$B$8/(1*(1/'Entrada de dades'!$B$8)))</f>
        <v>68.724506362141682</v>
      </c>
      <c r="Z66" s="124">
        <f>N66*(1-'Entrada de dades'!$B$8)*'Entrada de dades'!$B$12*('Entrada de dades'!$B$8/(1*(1/'Entrada de dades'!$B$8)))</f>
        <v>712.96041607700454</v>
      </c>
      <c r="AA66" s="124">
        <f>O66*(1-'Entrada de dades'!$B$8)*'Entrada de dades'!$B$14*('Entrada de dades'!$B$8/(1*(1/'Entrada de dades'!$B$8)))</f>
        <v>38.894841785187026</v>
      </c>
      <c r="AB66" s="124">
        <f>P66*(1-'Entrada de dades'!$B$8)*'Entrada de dades'!$B$15*('Entrada de dades'!$B$8/(1*(1/'Entrada de dades'!$B$8)))</f>
        <v>0</v>
      </c>
      <c r="AC66" s="124">
        <f>Q66*(1-'Entrada de dades'!$B$8)*'Entrada de dades'!$B$15*('Entrada de dades'!$B$8/(1*(1/'Entrada de dades'!$B$8)))</f>
        <v>0</v>
      </c>
      <c r="AD66" s="124">
        <f t="shared" si="74"/>
        <v>3723.8001808092013</v>
      </c>
      <c r="AE66" s="124">
        <f t="shared" si="74"/>
        <v>445.50359825984822</v>
      </c>
      <c r="AF66" s="124">
        <f t="shared" si="74"/>
        <v>4621.7346270254948</v>
      </c>
      <c r="AG66" s="124">
        <f t="shared" si="74"/>
        <v>252.13410595836152</v>
      </c>
      <c r="AH66" s="124">
        <f t="shared" si="74"/>
        <v>0</v>
      </c>
      <c r="AI66" s="124">
        <f t="shared" si="74"/>
        <v>0</v>
      </c>
      <c r="AJ66" s="124">
        <f>AD66*('[1]Entrada de dades'!$B$19+'[1]Entrada de dades'!$B$20)</f>
        <v>2234.2801084855209</v>
      </c>
      <c r="AK66" s="124">
        <f>AE66*('[1]Entrada de dades'!$B$19+'[1]Entrada de dades'!$B$20)</f>
        <v>267.30215895590896</v>
      </c>
      <c r="AL66" s="124">
        <f>AF66*('[1]Entrada de dades'!$B$19+'[1]Entrada de dades'!$B$20)</f>
        <v>2773.0407762152972</v>
      </c>
      <c r="AM66" s="124">
        <f>AG66*('[1]Entrada de dades'!$B$19+'[1]Entrada de dades'!$B$20)</f>
        <v>151.28046357501694</v>
      </c>
      <c r="AN66" s="124">
        <f>AH66*('[1]Entrada de dades'!$B$19+'[1]Entrada de dades'!$B$20)</f>
        <v>0</v>
      </c>
      <c r="AO66" s="124">
        <f>AI66*('[1]Entrada de dades'!$B$19+'[1]Entrada de dades'!$B$20)</f>
        <v>0</v>
      </c>
      <c r="AP66" s="124">
        <f t="shared" si="73"/>
        <v>1489.5200723236803</v>
      </c>
      <c r="AQ66" s="124">
        <f t="shared" si="73"/>
        <v>178.20143930393925</v>
      </c>
      <c r="AR66" s="124">
        <f t="shared" si="73"/>
        <v>1848.6938508101975</v>
      </c>
      <c r="AS66" s="124">
        <f t="shared" si="73"/>
        <v>100.85364238334458</v>
      </c>
      <c r="AT66" s="124">
        <f t="shared" si="73"/>
        <v>0</v>
      </c>
      <c r="AU66" s="124">
        <f t="shared" si="72"/>
        <v>0</v>
      </c>
      <c r="AV66" s="92">
        <f t="shared" si="75"/>
        <v>2859.3572068361536</v>
      </c>
      <c r="AW66" s="92">
        <f t="shared" si="92"/>
        <v>62.504154835856696</v>
      </c>
      <c r="AX66" s="92">
        <f t="shared" si="76"/>
        <v>6176.3012861717907</v>
      </c>
      <c r="AY66" s="92">
        <f t="shared" si="77"/>
        <v>2853.1949271638914</v>
      </c>
      <c r="AZ66" s="92">
        <f t="shared" si="78"/>
        <v>0</v>
      </c>
      <c r="BA66" s="92">
        <f t="shared" si="79"/>
        <v>0</v>
      </c>
      <c r="BB66" s="92">
        <f t="shared" si="80"/>
        <v>315.10797130007461</v>
      </c>
      <c r="BC66" s="92">
        <f t="shared" si="81"/>
        <v>37.78316016841773</v>
      </c>
      <c r="BD66" s="92">
        <f t="shared" si="82"/>
        <v>497.94568871572682</v>
      </c>
      <c r="BE66" s="92">
        <f t="shared" si="83"/>
        <v>123.69699238317216</v>
      </c>
      <c r="BF66" s="92">
        <f t="shared" si="84"/>
        <v>0</v>
      </c>
      <c r="BG66" s="92">
        <f t="shared" si="85"/>
        <v>0</v>
      </c>
      <c r="BH66" s="92">
        <f t="shared" si="86"/>
        <v>618470.85340186616</v>
      </c>
      <c r="BI66" s="92">
        <f t="shared" si="87"/>
        <v>35243.531266249607</v>
      </c>
      <c r="BJ66" s="92">
        <f t="shared" si="88"/>
        <v>848084.3293673991</v>
      </c>
      <c r="BK66" s="92">
        <f t="shared" si="89"/>
        <v>178543.11428775813</v>
      </c>
      <c r="BL66" s="92">
        <f t="shared" si="90"/>
        <v>0</v>
      </c>
      <c r="BM66" s="92">
        <f t="shared" si="91"/>
        <v>0</v>
      </c>
    </row>
    <row r="67" spans="1:65" ht="10.5" x14ac:dyDescent="0.25">
      <c r="A67" s="66">
        <v>28512</v>
      </c>
      <c r="B67" s="66" t="s">
        <v>614</v>
      </c>
      <c r="C67" s="66" t="s">
        <v>597</v>
      </c>
      <c r="D67" s="67" t="s">
        <v>615</v>
      </c>
      <c r="E67" s="143"/>
      <c r="F67" s="143"/>
      <c r="G67" s="143"/>
      <c r="H67" s="91"/>
      <c r="I67" s="91"/>
      <c r="K67" s="91">
        <v>65340.655952940382</v>
      </c>
      <c r="L67" s="96">
        <v>41865.769809523292</v>
      </c>
      <c r="M67" s="100">
        <v>7422.5126722432742</v>
      </c>
      <c r="N67" s="104">
        <v>15705.437674497773</v>
      </c>
      <c r="O67" s="108">
        <v>346.93579667604837</v>
      </c>
      <c r="P67" s="112">
        <v>0</v>
      </c>
      <c r="Q67" s="116">
        <v>0</v>
      </c>
      <c r="R67" s="124">
        <f>L67*'Entrada de dades'!$B$8*'Entrada de dades'!$B$11</f>
        <v>3913.6121617942372</v>
      </c>
      <c r="S67" s="124">
        <f>M67*'Entrada de dades'!$B$8*'Entrada de dades'!$B$13</f>
        <v>468.21209936510576</v>
      </c>
      <c r="T67" s="124">
        <f>N67*'Entrada de dades'!$B$8*'Entrada de dades'!$B$12</f>
        <v>3795.690177172622</v>
      </c>
      <c r="U67" s="124">
        <f>O67*'Entrada de dades'!$B$8*'Entrada de dades'!$B$14</f>
        <v>74.091608738136898</v>
      </c>
      <c r="V67" s="124">
        <f>P67*'Entrada de dades'!$B$8*'Entrada de dades'!$B$15</f>
        <v>0</v>
      </c>
      <c r="W67" s="124">
        <f>Q67*'Entrada de dades'!$B$8*'Entrada de dades'!$B$15</f>
        <v>0</v>
      </c>
      <c r="X67" s="124">
        <f>L67*(1-'Entrada de dades'!$B$8)*'Entrada de dades'!$B$11*('Entrada de dades'!$B$8/(1*(1/'Entrada de dades'!$B$8)))</f>
        <v>713.84285831126886</v>
      </c>
      <c r="Y67" s="124">
        <f>M67*(1-'Entrada de dades'!$B$8)*'Entrada de dades'!$B$13*('Entrada de dades'!$B$8/(1*(1/'Entrada de dades'!$B$8)))</f>
        <v>85.401886924195281</v>
      </c>
      <c r="Z67" s="124">
        <f>N67*(1-'Entrada de dades'!$B$8)*'Entrada de dades'!$B$12*('Entrada de dades'!$B$8/(1*(1/'Entrada de dades'!$B$8)))</f>
        <v>692.33388831628611</v>
      </c>
      <c r="AA67" s="124">
        <f>O67*(1-'Entrada de dades'!$B$8)*'Entrada de dades'!$B$14*('Entrada de dades'!$B$8/(1*(1/'Entrada de dades'!$B$8)))</f>
        <v>13.514309433836171</v>
      </c>
      <c r="AB67" s="124">
        <f>P67*(1-'Entrada de dades'!$B$8)*'Entrada de dades'!$B$15*('Entrada de dades'!$B$8/(1*(1/'Entrada de dades'!$B$8)))</f>
        <v>0</v>
      </c>
      <c r="AC67" s="124">
        <f>Q67*(1-'Entrada de dades'!$B$8)*'Entrada de dades'!$B$15*('Entrada de dades'!$B$8/(1*(1/'Entrada de dades'!$B$8)))</f>
        <v>0</v>
      </c>
      <c r="AD67" s="124">
        <f t="shared" si="74"/>
        <v>4627.4550201055063</v>
      </c>
      <c r="AE67" s="124">
        <f t="shared" si="74"/>
        <v>553.61398628930101</v>
      </c>
      <c r="AF67" s="124">
        <f t="shared" si="74"/>
        <v>4488.0240654889085</v>
      </c>
      <c r="AG67" s="124">
        <f t="shared" si="74"/>
        <v>87.605918171973073</v>
      </c>
      <c r="AH67" s="124">
        <f t="shared" si="74"/>
        <v>0</v>
      </c>
      <c r="AI67" s="124">
        <f t="shared" si="74"/>
        <v>0</v>
      </c>
      <c r="AJ67" s="124">
        <f>AD67*('[1]Entrada de dades'!$B$19+'[1]Entrada de dades'!$B$20)</f>
        <v>2776.4730120633044</v>
      </c>
      <c r="AK67" s="124">
        <f>AE67*('[1]Entrada de dades'!$B$19+'[1]Entrada de dades'!$B$20)</f>
        <v>332.16839177358065</v>
      </c>
      <c r="AL67" s="124">
        <f>AF67*('[1]Entrada de dades'!$B$19+'[1]Entrada de dades'!$B$20)</f>
        <v>2692.8144392933455</v>
      </c>
      <c r="AM67" s="124">
        <f>AG67*('[1]Entrada de dades'!$B$19+'[1]Entrada de dades'!$B$20)</f>
        <v>52.563550903183852</v>
      </c>
      <c r="AN67" s="124">
        <f>AH67*('[1]Entrada de dades'!$B$19+'[1]Entrada de dades'!$B$20)</f>
        <v>0</v>
      </c>
      <c r="AO67" s="124">
        <f>AI67*('[1]Entrada de dades'!$B$19+'[1]Entrada de dades'!$B$20)</f>
        <v>0</v>
      </c>
      <c r="AP67" s="124">
        <f t="shared" ref="AP67:AT67" si="93">AD67-AJ67</f>
        <v>1850.9820080422019</v>
      </c>
      <c r="AQ67" s="124">
        <f t="shared" si="93"/>
        <v>221.44559451572036</v>
      </c>
      <c r="AR67" s="124">
        <f t="shared" si="93"/>
        <v>1795.209626195563</v>
      </c>
      <c r="AS67" s="124">
        <f t="shared" si="93"/>
        <v>35.042367268789221</v>
      </c>
      <c r="AT67" s="124">
        <f t="shared" si="93"/>
        <v>0</v>
      </c>
      <c r="AU67" s="124">
        <f t="shared" si="72"/>
        <v>0</v>
      </c>
      <c r="AV67" s="92">
        <f t="shared" si="75"/>
        <v>3553.2376117382137</v>
      </c>
      <c r="AW67" s="92">
        <f t="shared" si="92"/>
        <v>77.672042276388922</v>
      </c>
      <c r="AX67" s="92">
        <f t="shared" si="76"/>
        <v>5997.6158401567582</v>
      </c>
      <c r="AY67" s="92">
        <f t="shared" si="77"/>
        <v>991.36433909931827</v>
      </c>
      <c r="AZ67" s="92">
        <f t="shared" si="78"/>
        <v>0</v>
      </c>
      <c r="BA67" s="92">
        <f t="shared" si="79"/>
        <v>0</v>
      </c>
      <c r="BB67" s="92">
        <f t="shared" si="80"/>
        <v>391.57524380132793</v>
      </c>
      <c r="BC67" s="92">
        <f t="shared" si="81"/>
        <v>46.952002177195624</v>
      </c>
      <c r="BD67" s="92">
        <f t="shared" si="82"/>
        <v>483.53971281577503</v>
      </c>
      <c r="BE67" s="92">
        <f t="shared" si="83"/>
        <v>42.979463455169991</v>
      </c>
      <c r="BF67" s="92">
        <f t="shared" si="84"/>
        <v>0</v>
      </c>
      <c r="BG67" s="92">
        <f t="shared" si="85"/>
        <v>0</v>
      </c>
      <c r="BH67" s="92">
        <f t="shared" si="86"/>
        <v>768555.21682194213</v>
      </c>
      <c r="BI67" s="92">
        <f t="shared" si="87"/>
        <v>43796.081359234566</v>
      </c>
      <c r="BJ67" s="92">
        <f t="shared" si="88"/>
        <v>823548.55631651834</v>
      </c>
      <c r="BK67" s="92">
        <f t="shared" si="89"/>
        <v>62036.166828797323</v>
      </c>
      <c r="BL67" s="92">
        <f t="shared" si="90"/>
        <v>0</v>
      </c>
      <c r="BM67" s="92">
        <f t="shared" si="91"/>
        <v>0</v>
      </c>
    </row>
    <row r="68" spans="1:65" ht="10.5" x14ac:dyDescent="0.25">
      <c r="A68" s="66"/>
      <c r="B68" s="66"/>
      <c r="C68" s="66"/>
      <c r="D68" s="67"/>
      <c r="E68" s="143"/>
      <c r="F68" s="143"/>
      <c r="G68" s="143"/>
      <c r="H68" s="91"/>
      <c r="I68" s="91"/>
      <c r="K68" s="91"/>
      <c r="L68" s="96"/>
      <c r="M68" s="100"/>
      <c r="N68" s="104"/>
      <c r="O68" s="108"/>
      <c r="P68" s="112"/>
      <c r="Q68" s="116"/>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row>
    <row r="69" spans="1:65" ht="10.5" x14ac:dyDescent="0.25">
      <c r="A69" s="66"/>
      <c r="B69" s="66"/>
      <c r="C69" s="66"/>
      <c r="D69" s="67"/>
      <c r="E69" s="143"/>
      <c r="F69" s="143"/>
      <c r="G69" s="143"/>
      <c r="H69" s="91"/>
      <c r="I69" s="91"/>
      <c r="K69" s="91"/>
      <c r="L69" s="96"/>
      <c r="M69" s="100"/>
      <c r="N69" s="104"/>
      <c r="O69" s="108"/>
      <c r="P69" s="112"/>
      <c r="Q69" s="116"/>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row>
    <row r="70" spans="1:65" ht="10.5" x14ac:dyDescent="0.25">
      <c r="A70" s="66"/>
      <c r="B70" s="66"/>
      <c r="C70" s="66"/>
      <c r="D70" s="67"/>
      <c r="E70" s="143"/>
      <c r="F70" s="143"/>
      <c r="G70" s="143"/>
      <c r="H70" s="91"/>
      <c r="I70" s="91"/>
      <c r="K70" s="91"/>
      <c r="L70" s="96"/>
      <c r="M70" s="100"/>
      <c r="N70" s="104"/>
      <c r="O70" s="108"/>
      <c r="P70" s="112"/>
      <c r="Q70" s="116"/>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row>
    <row r="71" spans="1:65" ht="10.5" x14ac:dyDescent="0.25">
      <c r="A71" s="66"/>
      <c r="B71" s="66"/>
      <c r="C71" s="66"/>
      <c r="D71" s="67"/>
      <c r="E71" s="143"/>
      <c r="F71" s="143"/>
      <c r="G71" s="143"/>
      <c r="H71" s="91"/>
      <c r="I71" s="91"/>
      <c r="K71" s="91"/>
      <c r="L71" s="96"/>
      <c r="M71" s="100"/>
      <c r="N71" s="104"/>
      <c r="O71" s="108"/>
      <c r="P71" s="112"/>
      <c r="Q71" s="116"/>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row>
    <row r="72" spans="1:65" ht="10.5" x14ac:dyDescent="0.25">
      <c r="A72" s="66"/>
      <c r="B72" s="66"/>
      <c r="C72" s="66"/>
      <c r="D72" s="67"/>
      <c r="E72" s="143"/>
      <c r="F72" s="143"/>
      <c r="G72" s="143"/>
      <c r="H72" s="91"/>
      <c r="I72" s="91"/>
      <c r="K72" s="91"/>
      <c r="L72" s="96"/>
      <c r="M72" s="100"/>
      <c r="N72" s="104"/>
      <c r="O72" s="108"/>
      <c r="P72" s="112"/>
      <c r="Q72" s="116"/>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row>
    <row r="73" spans="1:65" ht="10.5" x14ac:dyDescent="0.25">
      <c r="A73" s="66"/>
      <c r="B73" s="66"/>
      <c r="C73" s="66"/>
      <c r="D73" s="67"/>
      <c r="E73" s="143"/>
      <c r="F73" s="143"/>
      <c r="G73" s="143"/>
      <c r="H73" s="91"/>
      <c r="I73" s="91"/>
      <c r="K73" s="91"/>
      <c r="L73" s="96"/>
      <c r="M73" s="100"/>
      <c r="N73" s="104"/>
      <c r="O73" s="108"/>
      <c r="P73" s="112"/>
      <c r="Q73" s="116"/>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row>
    <row r="74" spans="1:65" ht="10.5" x14ac:dyDescent="0.25">
      <c r="A74" s="66"/>
      <c r="B74" s="66"/>
      <c r="C74" s="66"/>
      <c r="D74" s="67"/>
      <c r="E74" s="143"/>
      <c r="F74" s="143"/>
      <c r="G74" s="143"/>
      <c r="H74" s="91"/>
      <c r="I74" s="91"/>
      <c r="K74" s="91"/>
      <c r="L74" s="96"/>
      <c r="M74" s="100"/>
      <c r="N74" s="104"/>
      <c r="O74" s="108"/>
      <c r="P74" s="112"/>
      <c r="Q74" s="116"/>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row>
    <row r="75" spans="1:65" ht="10.5" x14ac:dyDescent="0.25">
      <c r="A75" s="66"/>
      <c r="B75" s="66"/>
      <c r="C75" s="66"/>
      <c r="D75" s="67"/>
      <c r="E75" s="143"/>
      <c r="F75" s="143"/>
      <c r="G75" s="143"/>
      <c r="H75" s="91"/>
      <c r="I75" s="91"/>
      <c r="K75" s="91"/>
      <c r="L75" s="96"/>
      <c r="M75" s="100"/>
      <c r="N75" s="104"/>
      <c r="O75" s="108"/>
      <c r="P75" s="112"/>
      <c r="Q75" s="116"/>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row>
    <row r="76" spans="1:65" ht="10.5" x14ac:dyDescent="0.25">
      <c r="A76" s="66"/>
      <c r="B76" s="66"/>
      <c r="C76" s="66"/>
      <c r="D76" s="67"/>
      <c r="E76" s="143"/>
      <c r="F76" s="143"/>
      <c r="G76" s="143"/>
      <c r="H76" s="91"/>
      <c r="I76" s="91"/>
      <c r="K76" s="91"/>
      <c r="L76" s="96"/>
      <c r="M76" s="100"/>
      <c r="N76" s="104"/>
      <c r="O76" s="108"/>
      <c r="P76" s="112"/>
      <c r="Q76" s="116"/>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row>
    <row r="77" spans="1:65" ht="10.5" x14ac:dyDescent="0.25">
      <c r="A77" s="66"/>
      <c r="B77" s="66"/>
      <c r="C77" s="66"/>
      <c r="D77" s="67"/>
      <c r="E77" s="143"/>
      <c r="F77" s="143"/>
      <c r="G77" s="143"/>
      <c r="H77" s="91"/>
      <c r="I77" s="91"/>
      <c r="K77" s="91"/>
      <c r="L77" s="96"/>
      <c r="M77" s="100"/>
      <c r="N77" s="104"/>
      <c r="O77" s="108"/>
      <c r="P77" s="112"/>
      <c r="Q77" s="116"/>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row>
    <row r="78" spans="1:65" ht="10.5" x14ac:dyDescent="0.25">
      <c r="A78" s="66"/>
      <c r="B78" s="66"/>
      <c r="C78" s="66"/>
      <c r="D78" s="67"/>
      <c r="E78" s="143"/>
      <c r="F78" s="143"/>
      <c r="G78" s="143"/>
      <c r="H78" s="91"/>
      <c r="I78" s="91"/>
      <c r="K78" s="91"/>
      <c r="L78" s="96"/>
      <c r="M78" s="100"/>
      <c r="N78" s="104"/>
      <c r="O78" s="108"/>
      <c r="P78" s="112"/>
      <c r="Q78" s="116"/>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row>
    <row r="79" spans="1:65" ht="10.5" x14ac:dyDescent="0.25">
      <c r="A79" s="66"/>
      <c r="B79" s="66"/>
      <c r="C79" s="66"/>
      <c r="D79" s="67"/>
      <c r="E79" s="143"/>
      <c r="F79" s="143"/>
      <c r="G79" s="143"/>
      <c r="H79" s="91"/>
      <c r="I79" s="91"/>
      <c r="K79" s="91"/>
      <c r="L79" s="96"/>
      <c r="M79" s="100"/>
      <c r="N79" s="104"/>
      <c r="O79" s="108"/>
      <c r="P79" s="112"/>
      <c r="Q79" s="116"/>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row>
    <row r="80" spans="1:65" ht="10.5" x14ac:dyDescent="0.25">
      <c r="A80" s="66"/>
      <c r="B80" s="66"/>
      <c r="C80" s="66"/>
      <c r="D80" s="67"/>
      <c r="E80" s="143"/>
      <c r="F80" s="143"/>
      <c r="G80" s="143"/>
      <c r="H80" s="91"/>
      <c r="I80" s="91"/>
      <c r="K80" s="91"/>
      <c r="L80" s="96"/>
      <c r="M80" s="100"/>
      <c r="N80" s="104"/>
      <c r="O80" s="108"/>
      <c r="P80" s="112"/>
      <c r="Q80" s="116"/>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row>
    <row r="81" spans="1:47" ht="10.5" x14ac:dyDescent="0.25">
      <c r="A81" s="66"/>
      <c r="B81" s="66"/>
      <c r="C81" s="66"/>
      <c r="D81" s="67"/>
      <c r="E81" s="143"/>
      <c r="F81" s="143"/>
      <c r="G81" s="143"/>
      <c r="H81" s="91"/>
      <c r="I81" s="91"/>
      <c r="K81" s="91"/>
      <c r="L81" s="96"/>
      <c r="M81" s="100"/>
      <c r="N81" s="104"/>
      <c r="O81" s="108"/>
      <c r="P81" s="112"/>
      <c r="Q81" s="116"/>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row>
    <row r="82" spans="1:47" ht="10.5" x14ac:dyDescent="0.25">
      <c r="A82" s="66"/>
      <c r="B82" s="66"/>
      <c r="C82" s="66"/>
      <c r="D82" s="67"/>
      <c r="E82" s="143"/>
      <c r="F82" s="143"/>
      <c r="G82" s="143"/>
      <c r="H82" s="91"/>
      <c r="I82" s="91"/>
      <c r="K82" s="91"/>
      <c r="L82" s="96"/>
      <c r="M82" s="100"/>
      <c r="N82" s="104"/>
      <c r="O82" s="108"/>
      <c r="P82" s="112"/>
      <c r="Q82" s="116"/>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row>
    <row r="83" spans="1:47" ht="10.5" x14ac:dyDescent="0.25">
      <c r="A83" s="66"/>
      <c r="B83" s="66"/>
      <c r="C83" s="66"/>
      <c r="D83" s="67"/>
      <c r="E83" s="143"/>
      <c r="F83" s="143"/>
      <c r="G83" s="143"/>
      <c r="H83" s="91"/>
      <c r="I83" s="91"/>
      <c r="K83" s="91"/>
      <c r="L83" s="96"/>
      <c r="M83" s="100"/>
      <c r="N83" s="104"/>
      <c r="O83" s="108"/>
      <c r="P83" s="112"/>
      <c r="Q83" s="116"/>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row>
    <row r="84" spans="1:47" ht="10.5" x14ac:dyDescent="0.25">
      <c r="A84" s="66"/>
      <c r="B84" s="66"/>
      <c r="C84" s="66"/>
      <c r="D84" s="67"/>
      <c r="E84" s="143"/>
      <c r="F84" s="143"/>
      <c r="G84" s="143"/>
      <c r="H84" s="91"/>
      <c r="I84" s="91"/>
      <c r="K84" s="91"/>
      <c r="L84" s="96"/>
      <c r="M84" s="100"/>
      <c r="N84" s="104"/>
      <c r="O84" s="108"/>
      <c r="P84" s="112"/>
      <c r="Q84" s="116"/>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row>
    <row r="85" spans="1:47" ht="10.5" x14ac:dyDescent="0.25">
      <c r="A85" s="66"/>
      <c r="B85" s="66"/>
      <c r="C85" s="66"/>
      <c r="D85" s="67"/>
      <c r="E85" s="143"/>
      <c r="F85" s="143"/>
      <c r="G85" s="143"/>
      <c r="H85" s="91"/>
      <c r="I85" s="91"/>
      <c r="K85" s="91"/>
      <c r="L85" s="96"/>
      <c r="M85" s="100"/>
      <c r="N85" s="104"/>
      <c r="O85" s="108"/>
      <c r="P85" s="112"/>
      <c r="Q85" s="116"/>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row>
    <row r="86" spans="1:47" ht="10.5" x14ac:dyDescent="0.25">
      <c r="A86" s="66"/>
      <c r="B86" s="66"/>
      <c r="C86" s="66"/>
      <c r="D86" s="67"/>
      <c r="E86" s="143"/>
      <c r="F86" s="143"/>
      <c r="G86" s="143"/>
      <c r="H86" s="91"/>
      <c r="I86" s="91"/>
      <c r="K86" s="91"/>
      <c r="L86" s="96"/>
      <c r="M86" s="100"/>
      <c r="N86" s="104"/>
      <c r="O86" s="108"/>
      <c r="P86" s="112"/>
      <c r="Q86" s="116"/>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row>
    <row r="87" spans="1:47" ht="10.5" x14ac:dyDescent="0.25">
      <c r="A87" s="66"/>
      <c r="B87" s="66"/>
      <c r="C87" s="66"/>
      <c r="D87" s="67"/>
      <c r="E87" s="143"/>
      <c r="F87" s="143"/>
      <c r="G87" s="143"/>
      <c r="H87" s="91"/>
      <c r="I87" s="91"/>
      <c r="K87" s="91"/>
      <c r="L87" s="96"/>
      <c r="M87" s="100"/>
      <c r="N87" s="104"/>
      <c r="O87" s="108"/>
      <c r="P87" s="112"/>
      <c r="Q87" s="116"/>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row>
    <row r="88" spans="1:47" ht="10.5" x14ac:dyDescent="0.25">
      <c r="A88" s="66"/>
      <c r="B88" s="66"/>
      <c r="C88" s="66"/>
      <c r="D88" s="67"/>
      <c r="E88" s="143"/>
      <c r="F88" s="143"/>
      <c r="G88" s="143"/>
      <c r="H88" s="91"/>
      <c r="I88" s="91"/>
      <c r="K88" s="91"/>
      <c r="L88" s="96"/>
      <c r="M88" s="100"/>
      <c r="N88" s="104"/>
      <c r="O88" s="108"/>
      <c r="P88" s="112"/>
      <c r="Q88" s="116"/>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row>
    <row r="89" spans="1:47" ht="10.5" x14ac:dyDescent="0.25">
      <c r="A89" s="66"/>
      <c r="B89" s="66"/>
      <c r="C89" s="66"/>
      <c r="D89" s="67"/>
      <c r="E89" s="143"/>
      <c r="F89" s="143"/>
      <c r="G89" s="143"/>
      <c r="H89" s="91"/>
      <c r="I89" s="91"/>
      <c r="K89" s="91"/>
      <c r="L89" s="96"/>
      <c r="M89" s="100"/>
      <c r="N89" s="104"/>
      <c r="O89" s="108"/>
      <c r="P89" s="112"/>
      <c r="Q89" s="116"/>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row>
    <row r="90" spans="1:47" ht="10.5" x14ac:dyDescent="0.25">
      <c r="A90" s="66"/>
      <c r="B90" s="66"/>
      <c r="C90" s="66"/>
      <c r="D90" s="67"/>
      <c r="E90" s="143"/>
      <c r="F90" s="143"/>
      <c r="G90" s="143"/>
      <c r="H90" s="91"/>
      <c r="I90" s="91"/>
      <c r="K90" s="91"/>
      <c r="L90" s="96"/>
      <c r="M90" s="100"/>
      <c r="N90" s="104"/>
      <c r="O90" s="108"/>
      <c r="P90" s="112"/>
      <c r="Q90" s="116"/>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row>
    <row r="91" spans="1:47" ht="10.5" x14ac:dyDescent="0.25">
      <c r="A91" s="66"/>
      <c r="B91" s="66"/>
      <c r="C91" s="66"/>
      <c r="D91" s="67"/>
      <c r="E91" s="143"/>
      <c r="F91" s="143"/>
      <c r="G91" s="143"/>
      <c r="H91" s="91"/>
      <c r="I91" s="91"/>
      <c r="K91" s="91"/>
      <c r="L91" s="96"/>
      <c r="M91" s="100"/>
      <c r="N91" s="104"/>
      <c r="O91" s="108"/>
      <c r="P91" s="112"/>
      <c r="Q91" s="116"/>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row>
    <row r="92" spans="1:47" ht="10.5" x14ac:dyDescent="0.25">
      <c r="A92" s="66"/>
      <c r="B92" s="66"/>
      <c r="C92" s="66"/>
      <c r="D92" s="67"/>
      <c r="E92" s="143"/>
      <c r="F92" s="143"/>
      <c r="G92" s="143"/>
      <c r="H92" s="91"/>
      <c r="I92" s="91"/>
      <c r="K92" s="91"/>
      <c r="L92" s="96"/>
      <c r="M92" s="100"/>
      <c r="N92" s="104"/>
      <c r="O92" s="108"/>
      <c r="P92" s="112"/>
      <c r="Q92" s="116"/>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row>
    <row r="93" spans="1:47" ht="10.5" x14ac:dyDescent="0.25">
      <c r="A93" s="66"/>
      <c r="B93" s="66"/>
      <c r="C93" s="66"/>
      <c r="D93" s="67"/>
      <c r="E93" s="143"/>
      <c r="F93" s="143"/>
      <c r="G93" s="143"/>
      <c r="H93" s="91"/>
      <c r="I93" s="91"/>
      <c r="K93" s="91"/>
      <c r="L93" s="96"/>
      <c r="M93" s="100"/>
      <c r="N93" s="104"/>
      <c r="O93" s="108"/>
      <c r="P93" s="112"/>
      <c r="Q93" s="116"/>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row>
    <row r="94" spans="1:47" ht="10.5" x14ac:dyDescent="0.25">
      <c r="A94" s="66"/>
      <c r="B94" s="66"/>
      <c r="C94" s="66"/>
      <c r="D94" s="67"/>
      <c r="E94" s="143"/>
      <c r="F94" s="143"/>
      <c r="G94" s="143"/>
      <c r="H94" s="91"/>
      <c r="I94" s="91"/>
      <c r="K94" s="91"/>
      <c r="L94" s="96"/>
      <c r="M94" s="100"/>
      <c r="N94" s="104"/>
      <c r="O94" s="108"/>
      <c r="P94" s="112"/>
      <c r="Q94" s="116"/>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row>
    <row r="95" spans="1:47" ht="10.5" x14ac:dyDescent="0.25">
      <c r="A95" s="66"/>
      <c r="B95" s="66"/>
      <c r="C95" s="66"/>
      <c r="D95" s="67"/>
      <c r="E95" s="143"/>
      <c r="F95" s="143"/>
      <c r="G95" s="143"/>
      <c r="H95" s="91"/>
      <c r="I95" s="91"/>
      <c r="K95" s="91"/>
      <c r="L95" s="96"/>
      <c r="M95" s="100"/>
      <c r="N95" s="104"/>
      <c r="O95" s="108"/>
      <c r="P95" s="112"/>
      <c r="Q95" s="116"/>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row>
    <row r="96" spans="1:47" ht="10.5" x14ac:dyDescent="0.25">
      <c r="A96" s="66"/>
      <c r="B96" s="66"/>
      <c r="C96" s="66"/>
      <c r="D96" s="67"/>
      <c r="E96" s="143"/>
      <c r="F96" s="143"/>
      <c r="G96" s="143"/>
      <c r="H96" s="91"/>
      <c r="I96" s="91"/>
      <c r="K96" s="91"/>
      <c r="L96" s="96"/>
      <c r="M96" s="100"/>
      <c r="N96" s="104"/>
      <c r="O96" s="108"/>
      <c r="P96" s="112"/>
      <c r="Q96" s="116"/>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row>
    <row r="97" spans="1:47" ht="10.5" x14ac:dyDescent="0.25">
      <c r="A97" s="66"/>
      <c r="B97" s="66"/>
      <c r="C97" s="66"/>
      <c r="D97" s="67"/>
      <c r="E97" s="143"/>
      <c r="F97" s="143"/>
      <c r="G97" s="143"/>
      <c r="H97" s="91"/>
      <c r="I97" s="91"/>
      <c r="K97" s="91"/>
      <c r="L97" s="96"/>
      <c r="M97" s="100"/>
      <c r="N97" s="104"/>
      <c r="O97" s="108"/>
      <c r="P97" s="112"/>
      <c r="Q97" s="116"/>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row>
    <row r="98" spans="1:47" ht="10.5" x14ac:dyDescent="0.25">
      <c r="A98" s="66"/>
      <c r="B98" s="66"/>
      <c r="C98" s="66"/>
      <c r="D98" s="67"/>
      <c r="E98" s="143"/>
      <c r="F98" s="143"/>
      <c r="G98" s="143"/>
      <c r="H98" s="91"/>
      <c r="I98" s="91"/>
      <c r="K98" s="91"/>
      <c r="L98" s="96"/>
      <c r="M98" s="100"/>
      <c r="N98" s="104"/>
      <c r="O98" s="108"/>
      <c r="P98" s="112"/>
      <c r="Q98" s="116"/>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row>
    <row r="99" spans="1:47" ht="10.5" x14ac:dyDescent="0.25">
      <c r="A99" s="66"/>
      <c r="B99" s="66"/>
      <c r="C99" s="66"/>
      <c r="D99" s="67"/>
      <c r="E99" s="143"/>
      <c r="F99" s="143"/>
      <c r="G99" s="143"/>
      <c r="H99" s="91"/>
      <c r="I99" s="91"/>
      <c r="K99" s="91"/>
      <c r="L99" s="96"/>
      <c r="M99" s="100"/>
      <c r="N99" s="104"/>
      <c r="O99" s="108"/>
      <c r="P99" s="112"/>
      <c r="Q99" s="116"/>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row>
    <row r="100" spans="1:47" ht="10.5" x14ac:dyDescent="0.25">
      <c r="A100" s="66"/>
      <c r="B100" s="66"/>
      <c r="C100" s="66"/>
      <c r="D100" s="67"/>
      <c r="E100" s="143"/>
      <c r="F100" s="143"/>
      <c r="G100" s="143"/>
      <c r="H100" s="91"/>
      <c r="I100" s="91"/>
      <c r="K100" s="91"/>
      <c r="L100" s="96"/>
      <c r="M100" s="100"/>
      <c r="N100" s="104"/>
      <c r="O100" s="108"/>
      <c r="P100" s="112"/>
      <c r="Q100" s="116"/>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row>
    <row r="101" spans="1:47" ht="10.5" x14ac:dyDescent="0.25">
      <c r="A101" s="66"/>
      <c r="B101" s="66"/>
      <c r="C101" s="66"/>
      <c r="D101" s="67"/>
      <c r="E101" s="143"/>
      <c r="F101" s="143"/>
      <c r="G101" s="143"/>
      <c r="H101" s="91"/>
      <c r="I101" s="91"/>
      <c r="K101" s="91"/>
      <c r="L101" s="96"/>
      <c r="M101" s="100"/>
      <c r="N101" s="104"/>
      <c r="O101" s="108"/>
      <c r="P101" s="112"/>
      <c r="Q101" s="116"/>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row>
    <row r="102" spans="1:47" ht="10.5" x14ac:dyDescent="0.25">
      <c r="A102" s="66"/>
      <c r="B102" s="66"/>
      <c r="C102" s="66"/>
      <c r="D102" s="67"/>
      <c r="E102" s="143"/>
      <c r="F102" s="143"/>
      <c r="G102" s="143"/>
      <c r="H102" s="91"/>
      <c r="I102" s="91"/>
      <c r="K102" s="91"/>
      <c r="L102" s="96"/>
      <c r="M102" s="100"/>
      <c r="N102" s="104"/>
      <c r="O102" s="108"/>
      <c r="P102" s="112"/>
      <c r="Q102" s="116"/>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row>
    <row r="103" spans="1:47" ht="10.5" x14ac:dyDescent="0.25">
      <c r="A103" s="66"/>
      <c r="B103" s="66"/>
      <c r="C103" s="66"/>
      <c r="D103" s="67"/>
      <c r="E103" s="143"/>
      <c r="F103" s="143"/>
      <c r="G103" s="143"/>
      <c r="H103" s="91"/>
      <c r="I103" s="91"/>
      <c r="K103" s="91"/>
      <c r="L103" s="96"/>
      <c r="M103" s="100"/>
      <c r="N103" s="104"/>
      <c r="O103" s="108"/>
      <c r="P103" s="112"/>
      <c r="Q103" s="116"/>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row>
    <row r="104" spans="1:47" ht="10.5" x14ac:dyDescent="0.25">
      <c r="A104" s="66"/>
      <c r="B104" s="66"/>
      <c r="C104" s="66"/>
      <c r="D104" s="67"/>
      <c r="E104" s="143"/>
      <c r="F104" s="143"/>
      <c r="G104" s="143"/>
      <c r="H104" s="91"/>
      <c r="I104" s="91"/>
      <c r="K104" s="91"/>
      <c r="L104" s="96"/>
      <c r="M104" s="100"/>
      <c r="N104" s="104"/>
      <c r="O104" s="108"/>
      <c r="P104" s="112"/>
      <c r="Q104" s="116"/>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row>
    <row r="105" spans="1:47" ht="10.5" x14ac:dyDescent="0.25">
      <c r="A105" s="66"/>
      <c r="B105" s="66"/>
      <c r="C105" s="66"/>
      <c r="D105" s="67"/>
      <c r="E105" s="143"/>
      <c r="F105" s="143"/>
      <c r="G105" s="143"/>
      <c r="H105" s="91"/>
      <c r="I105" s="91"/>
      <c r="K105" s="91"/>
      <c r="L105" s="96"/>
      <c r="M105" s="100"/>
      <c r="N105" s="104"/>
      <c r="O105" s="108"/>
      <c r="P105" s="112"/>
      <c r="Q105" s="116"/>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row>
    <row r="106" spans="1:47" ht="10.5" x14ac:dyDescent="0.25">
      <c r="A106" s="66"/>
      <c r="B106" s="66"/>
      <c r="C106" s="66"/>
      <c r="D106" s="67"/>
      <c r="E106" s="143"/>
      <c r="F106" s="143"/>
      <c r="G106" s="143"/>
      <c r="H106" s="91"/>
      <c r="I106" s="91"/>
      <c r="K106" s="91"/>
      <c r="L106" s="96"/>
      <c r="M106" s="100"/>
      <c r="N106" s="104"/>
      <c r="O106" s="108"/>
      <c r="P106" s="112"/>
      <c r="Q106" s="116"/>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row>
    <row r="107" spans="1:47" ht="10.5" x14ac:dyDescent="0.25">
      <c r="A107" s="66"/>
      <c r="B107" s="66"/>
      <c r="C107" s="66"/>
      <c r="D107" s="67"/>
      <c r="E107" s="143"/>
      <c r="F107" s="143"/>
      <c r="G107" s="143"/>
      <c r="H107" s="91"/>
      <c r="I107" s="91"/>
      <c r="K107" s="91"/>
      <c r="L107" s="96"/>
      <c r="M107" s="100"/>
      <c r="N107" s="104"/>
      <c r="O107" s="108"/>
      <c r="P107" s="112"/>
      <c r="Q107" s="116"/>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row>
    <row r="108" spans="1:47" ht="10.5" x14ac:dyDescent="0.25">
      <c r="A108" s="66"/>
      <c r="B108" s="66"/>
      <c r="C108" s="66"/>
      <c r="D108" s="67"/>
      <c r="E108" s="143"/>
      <c r="F108" s="143"/>
      <c r="G108" s="143"/>
      <c r="H108" s="91"/>
      <c r="I108" s="91"/>
      <c r="K108" s="91"/>
      <c r="L108" s="96"/>
      <c r="M108" s="100"/>
      <c r="N108" s="104"/>
      <c r="O108" s="108"/>
      <c r="P108" s="112"/>
      <c r="Q108" s="116"/>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row>
    <row r="109" spans="1:47" ht="10.5" x14ac:dyDescent="0.25">
      <c r="A109" s="66"/>
      <c r="B109" s="66"/>
      <c r="C109" s="66"/>
      <c r="D109" s="67"/>
      <c r="E109" s="143"/>
      <c r="F109" s="143"/>
      <c r="G109" s="143"/>
      <c r="H109" s="91"/>
      <c r="I109" s="91"/>
      <c r="K109" s="91"/>
      <c r="L109" s="96"/>
      <c r="M109" s="100"/>
      <c r="N109" s="104"/>
      <c r="O109" s="108"/>
      <c r="P109" s="112"/>
      <c r="Q109" s="116"/>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row>
    <row r="110" spans="1:47" ht="10.5" x14ac:dyDescent="0.25">
      <c r="A110" s="66"/>
      <c r="B110" s="66"/>
      <c r="C110" s="66"/>
      <c r="D110" s="67"/>
      <c r="E110" s="143"/>
      <c r="F110" s="143"/>
      <c r="G110" s="143"/>
      <c r="H110" s="91"/>
      <c r="I110" s="91"/>
      <c r="K110" s="91"/>
      <c r="L110" s="96"/>
      <c r="M110" s="100"/>
      <c r="N110" s="104"/>
      <c r="O110" s="108"/>
      <c r="P110" s="112"/>
      <c r="Q110" s="116"/>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row>
    <row r="111" spans="1:47" ht="10.5" x14ac:dyDescent="0.25">
      <c r="A111" s="66"/>
      <c r="B111" s="66"/>
      <c r="C111" s="66"/>
      <c r="D111" s="67"/>
      <c r="E111" s="143"/>
      <c r="F111" s="143"/>
      <c r="G111" s="143"/>
      <c r="H111" s="91"/>
      <c r="I111" s="91"/>
      <c r="K111" s="91"/>
      <c r="L111" s="96"/>
      <c r="M111" s="100"/>
      <c r="N111" s="104"/>
      <c r="O111" s="108"/>
      <c r="P111" s="112"/>
      <c r="Q111" s="116"/>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row>
    <row r="112" spans="1:47" ht="10.5" x14ac:dyDescent="0.25">
      <c r="A112" s="66"/>
      <c r="B112" s="66"/>
      <c r="C112" s="66"/>
      <c r="D112" s="67"/>
      <c r="E112" s="143"/>
      <c r="F112" s="143"/>
      <c r="G112" s="143"/>
      <c r="H112" s="91"/>
      <c r="I112" s="91"/>
      <c r="K112" s="91"/>
      <c r="L112" s="96"/>
      <c r="M112" s="100"/>
      <c r="N112" s="104"/>
      <c r="O112" s="108"/>
      <c r="P112" s="112"/>
      <c r="Q112" s="116"/>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row>
    <row r="113" spans="1:47" ht="10.5" x14ac:dyDescent="0.25">
      <c r="A113" s="66"/>
      <c r="B113" s="66"/>
      <c r="C113" s="66"/>
      <c r="D113" s="67"/>
      <c r="E113" s="143"/>
      <c r="F113" s="143"/>
      <c r="G113" s="143"/>
      <c r="H113" s="91"/>
      <c r="I113" s="91"/>
      <c r="K113" s="91"/>
      <c r="L113" s="96"/>
      <c r="M113" s="100"/>
      <c r="N113" s="104"/>
      <c r="O113" s="108"/>
      <c r="P113" s="112"/>
      <c r="Q113" s="116"/>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row>
    <row r="114" spans="1:47" ht="10.5" x14ac:dyDescent="0.25">
      <c r="A114" s="66"/>
      <c r="B114" s="66"/>
      <c r="C114" s="66"/>
      <c r="D114" s="67"/>
      <c r="E114" s="143"/>
      <c r="F114" s="143"/>
      <c r="G114" s="143"/>
      <c r="H114" s="91"/>
      <c r="I114" s="91"/>
      <c r="K114" s="91"/>
      <c r="L114" s="96"/>
      <c r="M114" s="100"/>
      <c r="N114" s="104"/>
      <c r="O114" s="108"/>
      <c r="P114" s="112"/>
      <c r="Q114" s="116"/>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row>
    <row r="115" spans="1:47" ht="10.5" x14ac:dyDescent="0.25">
      <c r="A115" s="66"/>
      <c r="B115" s="66"/>
      <c r="C115" s="66"/>
      <c r="D115" s="67"/>
      <c r="E115" s="143"/>
      <c r="F115" s="143"/>
      <c r="G115" s="143"/>
      <c r="H115" s="91"/>
      <c r="I115" s="91"/>
      <c r="K115" s="91"/>
      <c r="L115" s="96"/>
      <c r="M115" s="100"/>
      <c r="N115" s="104"/>
      <c r="O115" s="108"/>
      <c r="P115" s="112"/>
      <c r="Q115" s="116"/>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row>
    <row r="116" spans="1:47" ht="10.5" x14ac:dyDescent="0.25">
      <c r="A116" s="66"/>
      <c r="B116" s="66"/>
      <c r="C116" s="66"/>
      <c r="D116" s="67"/>
      <c r="E116" s="143"/>
      <c r="F116" s="143"/>
      <c r="G116" s="143"/>
      <c r="H116" s="91"/>
      <c r="I116" s="91"/>
      <c r="K116" s="91"/>
      <c r="L116" s="96"/>
      <c r="M116" s="100"/>
      <c r="N116" s="104"/>
      <c r="O116" s="108"/>
      <c r="P116" s="112"/>
      <c r="Q116" s="116"/>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row>
    <row r="117" spans="1:47" ht="10.5" x14ac:dyDescent="0.25">
      <c r="A117" s="66"/>
      <c r="B117" s="66"/>
      <c r="C117" s="66"/>
      <c r="D117" s="67"/>
      <c r="E117" s="143"/>
      <c r="F117" s="143"/>
      <c r="G117" s="143"/>
      <c r="H117" s="91"/>
      <c r="I117" s="91"/>
      <c r="K117" s="91"/>
      <c r="L117" s="96"/>
      <c r="M117" s="100"/>
      <c r="N117" s="104"/>
      <c r="O117" s="108"/>
      <c r="P117" s="112"/>
      <c r="Q117" s="116"/>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row>
    <row r="118" spans="1:47" ht="10.5" x14ac:dyDescent="0.25">
      <c r="A118" s="66"/>
      <c r="B118" s="66"/>
      <c r="C118" s="66"/>
      <c r="D118" s="67"/>
      <c r="E118" s="143"/>
      <c r="F118" s="143"/>
      <c r="G118" s="143"/>
      <c r="H118" s="91"/>
      <c r="I118" s="91"/>
      <c r="K118" s="91"/>
      <c r="L118" s="96"/>
      <c r="M118" s="100"/>
      <c r="N118" s="104"/>
      <c r="O118" s="108"/>
      <c r="P118" s="112"/>
      <c r="Q118" s="116"/>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row>
    <row r="119" spans="1:47" ht="10.5" x14ac:dyDescent="0.25">
      <c r="A119" s="66"/>
      <c r="B119" s="66"/>
      <c r="C119" s="66"/>
      <c r="D119" s="67"/>
      <c r="E119" s="143"/>
      <c r="F119" s="143"/>
      <c r="G119" s="143"/>
      <c r="H119" s="91"/>
      <c r="I119" s="91"/>
      <c r="K119" s="91"/>
      <c r="L119" s="96"/>
      <c r="M119" s="100"/>
      <c r="N119" s="104"/>
      <c r="O119" s="108"/>
      <c r="P119" s="112"/>
      <c r="Q119" s="116"/>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row>
    <row r="120" spans="1:47" ht="10.5" x14ac:dyDescent="0.25">
      <c r="A120" s="66"/>
      <c r="B120" s="66"/>
      <c r="C120" s="66"/>
      <c r="D120" s="67"/>
      <c r="E120" s="143"/>
      <c r="F120" s="143"/>
      <c r="G120" s="143"/>
      <c r="H120" s="91"/>
      <c r="I120" s="91"/>
      <c r="K120" s="91"/>
      <c r="L120" s="96"/>
      <c r="M120" s="100"/>
      <c r="N120" s="104"/>
      <c r="O120" s="108"/>
      <c r="P120" s="112"/>
      <c r="Q120" s="116"/>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row>
    <row r="121" spans="1:47" ht="10.5" x14ac:dyDescent="0.25">
      <c r="A121" s="66"/>
      <c r="B121" s="66"/>
      <c r="C121" s="66"/>
      <c r="D121" s="67"/>
      <c r="E121" s="143"/>
      <c r="F121" s="143"/>
      <c r="G121" s="143"/>
      <c r="H121" s="91"/>
      <c r="I121" s="91"/>
      <c r="K121" s="91"/>
      <c r="L121" s="96"/>
      <c r="M121" s="100"/>
      <c r="N121" s="104"/>
      <c r="O121" s="108"/>
      <c r="P121" s="112"/>
      <c r="Q121" s="116"/>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row>
    <row r="122" spans="1:47" ht="10.5" x14ac:dyDescent="0.25">
      <c r="A122" s="66"/>
      <c r="B122" s="66"/>
      <c r="C122" s="66"/>
      <c r="D122" s="67"/>
      <c r="E122" s="143"/>
      <c r="F122" s="143"/>
      <c r="G122" s="143"/>
      <c r="H122" s="91"/>
      <c r="I122" s="91"/>
      <c r="K122" s="91"/>
      <c r="L122" s="96"/>
      <c r="M122" s="100"/>
      <c r="N122" s="104"/>
      <c r="O122" s="108"/>
      <c r="P122" s="112"/>
      <c r="Q122" s="116"/>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row>
    <row r="123" spans="1:47" ht="10.5" x14ac:dyDescent="0.25">
      <c r="A123" s="66"/>
      <c r="B123" s="66"/>
      <c r="C123" s="66"/>
      <c r="D123" s="67"/>
      <c r="E123" s="143"/>
      <c r="F123" s="143"/>
      <c r="G123" s="143"/>
      <c r="H123" s="91"/>
      <c r="I123" s="91"/>
      <c r="K123" s="91"/>
      <c r="L123" s="96"/>
      <c r="M123" s="100"/>
      <c r="N123" s="104"/>
      <c r="O123" s="108"/>
      <c r="P123" s="112"/>
      <c r="Q123" s="116"/>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row>
    <row r="124" spans="1:47" ht="10.5" x14ac:dyDescent="0.25">
      <c r="A124" s="66"/>
      <c r="B124" s="66"/>
      <c r="C124" s="66"/>
      <c r="D124" s="67"/>
      <c r="E124" s="143"/>
      <c r="F124" s="143"/>
      <c r="G124" s="143"/>
      <c r="H124" s="91"/>
      <c r="I124" s="91"/>
      <c r="K124" s="91"/>
      <c r="L124" s="96"/>
      <c r="M124" s="100"/>
      <c r="N124" s="104"/>
      <c r="O124" s="108"/>
      <c r="P124" s="112"/>
      <c r="Q124" s="116"/>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row>
    <row r="125" spans="1:47" ht="10.5" x14ac:dyDescent="0.25">
      <c r="A125" s="66"/>
      <c r="B125" s="66"/>
      <c r="C125" s="66"/>
      <c r="D125" s="67"/>
      <c r="E125" s="143"/>
      <c r="F125" s="143"/>
      <c r="G125" s="143"/>
      <c r="H125" s="91"/>
      <c r="I125" s="91"/>
      <c r="K125" s="91"/>
      <c r="L125" s="96"/>
      <c r="M125" s="100"/>
      <c r="N125" s="104"/>
      <c r="O125" s="108"/>
      <c r="P125" s="112"/>
      <c r="Q125" s="116"/>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row>
    <row r="126" spans="1:47" ht="10.5" x14ac:dyDescent="0.25">
      <c r="A126" s="66"/>
      <c r="B126" s="66"/>
      <c r="C126" s="66"/>
      <c r="D126" s="67"/>
      <c r="E126" s="143"/>
      <c r="F126" s="143"/>
      <c r="G126" s="143"/>
      <c r="H126" s="91"/>
      <c r="I126" s="91"/>
      <c r="K126" s="91"/>
      <c r="L126" s="96"/>
      <c r="M126" s="100"/>
      <c r="N126" s="104"/>
      <c r="O126" s="108"/>
      <c r="P126" s="112"/>
      <c r="Q126" s="116"/>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row>
    <row r="127" spans="1:47" ht="10.5" x14ac:dyDescent="0.25">
      <c r="A127" s="66"/>
      <c r="B127" s="66"/>
      <c r="C127" s="66"/>
      <c r="D127" s="67"/>
      <c r="E127" s="143"/>
      <c r="F127" s="143"/>
      <c r="G127" s="143"/>
      <c r="H127" s="91"/>
      <c r="I127" s="91"/>
      <c r="K127" s="91"/>
      <c r="L127" s="96"/>
      <c r="M127" s="100"/>
      <c r="N127" s="104"/>
      <c r="O127" s="108"/>
      <c r="P127" s="112"/>
      <c r="Q127" s="116"/>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row>
    <row r="128" spans="1:47" ht="10.5" x14ac:dyDescent="0.25">
      <c r="A128" s="66"/>
      <c r="B128" s="66"/>
      <c r="C128" s="66"/>
      <c r="D128" s="67"/>
      <c r="E128" s="143"/>
      <c r="F128" s="143"/>
      <c r="G128" s="143"/>
      <c r="H128" s="91"/>
      <c r="I128" s="91"/>
      <c r="K128" s="91"/>
      <c r="L128" s="96"/>
      <c r="M128" s="100"/>
      <c r="N128" s="104"/>
      <c r="O128" s="108"/>
      <c r="P128" s="112"/>
      <c r="Q128" s="116"/>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row>
    <row r="129" spans="1:47" ht="10.5" x14ac:dyDescent="0.25">
      <c r="A129" s="66"/>
      <c r="B129" s="66"/>
      <c r="C129" s="66"/>
      <c r="D129" s="67"/>
      <c r="E129" s="143"/>
      <c r="F129" s="143"/>
      <c r="G129" s="143"/>
      <c r="H129" s="91"/>
      <c r="I129" s="91"/>
      <c r="K129" s="91"/>
      <c r="L129" s="96"/>
      <c r="M129" s="100"/>
      <c r="N129" s="104"/>
      <c r="O129" s="108"/>
      <c r="P129" s="112"/>
      <c r="Q129" s="116"/>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row>
    <row r="130" spans="1:47" ht="10.5" x14ac:dyDescent="0.25">
      <c r="A130" s="66"/>
      <c r="B130" s="66"/>
      <c r="C130" s="66"/>
      <c r="D130" s="67"/>
      <c r="E130" s="143"/>
      <c r="F130" s="143"/>
      <c r="G130" s="143"/>
      <c r="H130" s="91"/>
      <c r="I130" s="91"/>
      <c r="K130" s="91"/>
      <c r="L130" s="96"/>
      <c r="M130" s="100"/>
      <c r="N130" s="104"/>
      <c r="O130" s="108"/>
      <c r="P130" s="112"/>
      <c r="Q130" s="116"/>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row>
    <row r="131" spans="1:47" ht="10.5" x14ac:dyDescent="0.25">
      <c r="A131" s="66"/>
      <c r="B131" s="66"/>
      <c r="C131" s="66"/>
      <c r="D131" s="67"/>
      <c r="E131" s="143"/>
      <c r="F131" s="143"/>
      <c r="G131" s="143"/>
      <c r="H131" s="91"/>
      <c r="I131" s="91"/>
      <c r="K131" s="91"/>
      <c r="L131" s="96"/>
      <c r="M131" s="100"/>
      <c r="N131" s="104"/>
      <c r="O131" s="108"/>
      <c r="P131" s="112"/>
      <c r="Q131" s="116"/>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row>
    <row r="132" spans="1:47" ht="10.5" x14ac:dyDescent="0.25">
      <c r="A132" s="66"/>
      <c r="B132" s="66"/>
      <c r="C132" s="66"/>
      <c r="D132" s="67"/>
      <c r="E132" s="143"/>
      <c r="F132" s="143"/>
      <c r="G132" s="143"/>
      <c r="H132" s="91"/>
      <c r="I132" s="91"/>
      <c r="K132" s="91"/>
      <c r="L132" s="96"/>
      <c r="M132" s="100"/>
      <c r="N132" s="104"/>
      <c r="O132" s="108"/>
      <c r="P132" s="112"/>
      <c r="Q132" s="116"/>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row>
    <row r="133" spans="1:47" ht="10.5" x14ac:dyDescent="0.25">
      <c r="A133" s="66"/>
      <c r="B133" s="66"/>
      <c r="C133" s="66"/>
      <c r="D133" s="67"/>
      <c r="E133" s="143"/>
      <c r="F133" s="143"/>
      <c r="G133" s="143"/>
      <c r="H133" s="91"/>
      <c r="I133" s="91"/>
      <c r="K133" s="91"/>
      <c r="L133" s="96"/>
      <c r="M133" s="100"/>
      <c r="N133" s="104"/>
      <c r="O133" s="108"/>
      <c r="P133" s="112"/>
      <c r="Q133" s="116"/>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row>
    <row r="134" spans="1:47" ht="10.5" x14ac:dyDescent="0.25">
      <c r="A134" s="66"/>
      <c r="B134" s="66"/>
      <c r="C134" s="66"/>
      <c r="D134" s="67"/>
      <c r="E134" s="143"/>
      <c r="F134" s="143"/>
      <c r="G134" s="143"/>
      <c r="H134" s="91"/>
      <c r="I134" s="91"/>
      <c r="K134" s="91"/>
      <c r="L134" s="96"/>
      <c r="M134" s="100"/>
      <c r="N134" s="104"/>
      <c r="O134" s="108"/>
      <c r="P134" s="112"/>
      <c r="Q134" s="116"/>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row>
    <row r="135" spans="1:47" ht="10.5" x14ac:dyDescent="0.25">
      <c r="A135" s="66"/>
      <c r="B135" s="66"/>
      <c r="C135" s="66"/>
      <c r="D135" s="67"/>
      <c r="E135" s="143"/>
      <c r="F135" s="143"/>
      <c r="G135" s="143"/>
      <c r="H135" s="91"/>
      <c r="I135" s="91"/>
      <c r="K135" s="91"/>
      <c r="L135" s="96"/>
      <c r="M135" s="100"/>
      <c r="N135" s="104"/>
      <c r="O135" s="108"/>
      <c r="P135" s="112"/>
      <c r="Q135" s="116"/>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row>
    <row r="136" spans="1:47" ht="10.5" x14ac:dyDescent="0.25">
      <c r="A136" s="66"/>
      <c r="B136" s="66"/>
      <c r="C136" s="66"/>
      <c r="D136" s="67"/>
      <c r="E136" s="143"/>
      <c r="F136" s="143"/>
      <c r="G136" s="143"/>
      <c r="H136" s="91"/>
      <c r="I136" s="91"/>
      <c r="K136" s="91"/>
      <c r="L136" s="96"/>
      <c r="M136" s="100"/>
      <c r="N136" s="104"/>
      <c r="O136" s="108"/>
      <c r="P136" s="112"/>
      <c r="Q136" s="116"/>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row>
    <row r="137" spans="1:47" ht="10.5" x14ac:dyDescent="0.25">
      <c r="A137" s="66"/>
      <c r="B137" s="66"/>
      <c r="C137" s="66"/>
      <c r="D137" s="67"/>
      <c r="E137" s="143"/>
      <c r="F137" s="143"/>
      <c r="G137" s="143"/>
      <c r="H137" s="91"/>
      <c r="I137" s="91"/>
      <c r="K137" s="91"/>
      <c r="L137" s="96"/>
      <c r="M137" s="100"/>
      <c r="N137" s="104"/>
      <c r="O137" s="108"/>
      <c r="P137" s="112"/>
      <c r="Q137" s="116"/>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row>
    <row r="138" spans="1:47" ht="10.5" x14ac:dyDescent="0.25">
      <c r="A138" s="66"/>
      <c r="B138" s="66"/>
      <c r="C138" s="66"/>
      <c r="D138" s="67"/>
      <c r="E138" s="143"/>
      <c r="F138" s="143"/>
      <c r="G138" s="143"/>
      <c r="H138" s="91"/>
      <c r="I138" s="91"/>
      <c r="K138" s="91"/>
      <c r="L138" s="96"/>
      <c r="M138" s="100"/>
      <c r="N138" s="104"/>
      <c r="O138" s="108"/>
      <c r="P138" s="112"/>
      <c r="Q138" s="116"/>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row>
    <row r="139" spans="1:47" ht="10.5" x14ac:dyDescent="0.25">
      <c r="A139" s="66"/>
      <c r="B139" s="66"/>
      <c r="C139" s="66"/>
      <c r="D139" s="67"/>
      <c r="E139" s="143"/>
      <c r="F139" s="143"/>
      <c r="G139" s="143"/>
      <c r="H139" s="91"/>
      <c r="I139" s="91"/>
      <c r="K139" s="91"/>
      <c r="L139" s="96"/>
      <c r="M139" s="100"/>
      <c r="N139" s="104"/>
      <c r="O139" s="108"/>
      <c r="P139" s="112"/>
      <c r="Q139" s="116"/>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row>
    <row r="140" spans="1:47" ht="10.5" x14ac:dyDescent="0.25">
      <c r="A140" s="66"/>
      <c r="B140" s="66"/>
      <c r="C140" s="66"/>
      <c r="D140" s="67"/>
      <c r="E140" s="143"/>
      <c r="F140" s="143"/>
      <c r="G140" s="143"/>
      <c r="H140" s="91"/>
      <c r="I140" s="91"/>
      <c r="K140" s="91"/>
      <c r="L140" s="96"/>
      <c r="M140" s="100"/>
      <c r="N140" s="104"/>
      <c r="O140" s="108"/>
      <c r="P140" s="112"/>
      <c r="Q140" s="116"/>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row>
    <row r="141" spans="1:47" ht="10.5" x14ac:dyDescent="0.25">
      <c r="A141" s="66"/>
      <c r="B141" s="66"/>
      <c r="C141" s="66"/>
      <c r="D141" s="67"/>
      <c r="E141" s="143"/>
      <c r="F141" s="143"/>
      <c r="G141" s="143"/>
      <c r="H141" s="91"/>
      <c r="I141" s="91"/>
      <c r="K141" s="91"/>
      <c r="L141" s="96"/>
      <c r="M141" s="100"/>
      <c r="N141" s="104"/>
      <c r="O141" s="108"/>
      <c r="P141" s="112"/>
      <c r="Q141" s="116"/>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row>
    <row r="142" spans="1:47" ht="10.5" x14ac:dyDescent="0.25">
      <c r="A142" s="66"/>
      <c r="B142" s="66"/>
      <c r="C142" s="66"/>
      <c r="D142" s="67"/>
      <c r="E142" s="143"/>
      <c r="F142" s="143"/>
      <c r="G142" s="143"/>
      <c r="H142" s="91"/>
      <c r="I142" s="91"/>
      <c r="K142" s="91"/>
      <c r="L142" s="96"/>
      <c r="M142" s="100"/>
      <c r="N142" s="104"/>
      <c r="O142" s="108"/>
      <c r="P142" s="112"/>
      <c r="Q142" s="116"/>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row>
    <row r="143" spans="1:47" ht="10.5" x14ac:dyDescent="0.25">
      <c r="A143" s="66"/>
      <c r="B143" s="66"/>
      <c r="C143" s="66"/>
      <c r="D143" s="67"/>
      <c r="E143" s="143"/>
      <c r="F143" s="143"/>
      <c r="G143" s="143"/>
      <c r="H143" s="91"/>
      <c r="I143" s="91"/>
      <c r="K143" s="91"/>
      <c r="L143" s="96"/>
      <c r="M143" s="100"/>
      <c r="N143" s="104"/>
      <c r="O143" s="108"/>
      <c r="P143" s="112"/>
      <c r="Q143" s="116"/>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row>
    <row r="144" spans="1:47" ht="10.5" x14ac:dyDescent="0.25">
      <c r="A144" s="66"/>
      <c r="B144" s="66"/>
      <c r="C144" s="66"/>
      <c r="D144" s="67"/>
      <c r="E144" s="143"/>
      <c r="F144" s="143"/>
      <c r="G144" s="143"/>
      <c r="H144" s="91"/>
      <c r="I144" s="91"/>
      <c r="K144" s="91"/>
      <c r="L144" s="96"/>
      <c r="M144" s="100"/>
      <c r="N144" s="104"/>
      <c r="O144" s="108"/>
      <c r="P144" s="112"/>
      <c r="Q144" s="116"/>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row>
    <row r="145" spans="1:47" ht="10.5" x14ac:dyDescent="0.25">
      <c r="A145" s="66"/>
      <c r="B145" s="66"/>
      <c r="C145" s="66"/>
      <c r="D145" s="67"/>
      <c r="E145" s="143"/>
      <c r="F145" s="143"/>
      <c r="G145" s="143"/>
      <c r="H145" s="91"/>
      <c r="I145" s="91"/>
      <c r="K145" s="91"/>
      <c r="L145" s="96"/>
      <c r="M145" s="100"/>
      <c r="N145" s="104"/>
      <c r="O145" s="108"/>
      <c r="P145" s="112"/>
      <c r="Q145" s="116"/>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row>
    <row r="146" spans="1:47" ht="10.5" x14ac:dyDescent="0.25">
      <c r="A146" s="66"/>
      <c r="B146" s="66"/>
      <c r="C146" s="66"/>
      <c r="D146" s="67"/>
      <c r="E146" s="143"/>
      <c r="F146" s="143"/>
      <c r="G146" s="143"/>
      <c r="H146" s="91"/>
      <c r="I146" s="91"/>
      <c r="K146" s="91"/>
      <c r="L146" s="96"/>
      <c r="M146" s="100"/>
      <c r="N146" s="104"/>
      <c r="O146" s="108"/>
      <c r="P146" s="112"/>
      <c r="Q146" s="116"/>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row>
    <row r="147" spans="1:47" ht="10.5" x14ac:dyDescent="0.25">
      <c r="A147" s="66"/>
      <c r="B147" s="66"/>
      <c r="C147" s="66"/>
      <c r="D147" s="67"/>
      <c r="E147" s="143"/>
      <c r="F147" s="143"/>
      <c r="G147" s="143"/>
      <c r="H147" s="91"/>
      <c r="I147" s="91"/>
      <c r="K147" s="91"/>
      <c r="L147" s="96"/>
      <c r="M147" s="100"/>
      <c r="N147" s="104"/>
      <c r="O147" s="108"/>
      <c r="P147" s="112"/>
      <c r="Q147" s="116"/>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row>
    <row r="148" spans="1:47" ht="10.5" x14ac:dyDescent="0.25">
      <c r="A148" s="66"/>
      <c r="B148" s="66"/>
      <c r="C148" s="66"/>
      <c r="D148" s="67"/>
      <c r="E148" s="143"/>
      <c r="F148" s="143"/>
      <c r="G148" s="143"/>
      <c r="H148" s="91"/>
      <c r="I148" s="91"/>
      <c r="K148" s="91"/>
      <c r="L148" s="96"/>
      <c r="M148" s="100"/>
      <c r="N148" s="104"/>
      <c r="O148" s="108"/>
      <c r="P148" s="112"/>
      <c r="Q148" s="116"/>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row>
    <row r="149" spans="1:47" ht="10.5" x14ac:dyDescent="0.25">
      <c r="A149" s="66"/>
      <c r="B149" s="66"/>
      <c r="C149" s="66"/>
      <c r="D149" s="67"/>
      <c r="E149" s="143"/>
      <c r="F149" s="143"/>
      <c r="G149" s="143"/>
      <c r="H149" s="91"/>
      <c r="I149" s="91"/>
      <c r="K149" s="91"/>
      <c r="L149" s="96"/>
      <c r="M149" s="100"/>
      <c r="N149" s="104"/>
      <c r="O149" s="108"/>
      <c r="P149" s="112"/>
      <c r="Q149" s="116"/>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row>
    <row r="150" spans="1:47" ht="10.5" x14ac:dyDescent="0.25">
      <c r="A150" s="66"/>
      <c r="B150" s="66"/>
      <c r="C150" s="66"/>
      <c r="D150" s="67"/>
      <c r="E150" s="143"/>
      <c r="F150" s="143"/>
      <c r="G150" s="143"/>
      <c r="H150" s="91"/>
      <c r="I150" s="91"/>
      <c r="K150" s="91"/>
      <c r="L150" s="96"/>
      <c r="M150" s="100"/>
      <c r="N150" s="104"/>
      <c r="O150" s="108"/>
      <c r="P150" s="112"/>
      <c r="Q150" s="116"/>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row>
    <row r="151" spans="1:47" ht="10.5" x14ac:dyDescent="0.25">
      <c r="A151" s="66"/>
      <c r="B151" s="66"/>
      <c r="C151" s="66"/>
      <c r="D151" s="67"/>
      <c r="E151" s="143"/>
      <c r="F151" s="143"/>
      <c r="G151" s="143"/>
      <c r="H151" s="91"/>
      <c r="I151" s="91"/>
      <c r="K151" s="91"/>
      <c r="L151" s="96"/>
      <c r="M151" s="100"/>
      <c r="N151" s="104"/>
      <c r="O151" s="108"/>
      <c r="P151" s="112"/>
      <c r="Q151" s="116"/>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row>
    <row r="152" spans="1:47" ht="10.5" x14ac:dyDescent="0.25">
      <c r="A152" s="66"/>
      <c r="B152" s="66"/>
      <c r="C152" s="66"/>
      <c r="D152" s="67"/>
      <c r="E152" s="143"/>
      <c r="F152" s="143"/>
      <c r="G152" s="143"/>
      <c r="H152" s="91"/>
      <c r="I152" s="91"/>
      <c r="K152" s="91"/>
      <c r="L152" s="96"/>
      <c r="M152" s="100"/>
      <c r="N152" s="104"/>
      <c r="O152" s="108"/>
      <c r="P152" s="112"/>
      <c r="Q152" s="116"/>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row>
    <row r="153" spans="1:47" ht="10.5" x14ac:dyDescent="0.25">
      <c r="A153" s="66"/>
      <c r="B153" s="66"/>
      <c r="C153" s="66"/>
      <c r="D153" s="67"/>
      <c r="E153" s="143"/>
      <c r="F153" s="143"/>
      <c r="G153" s="143"/>
      <c r="H153" s="91"/>
      <c r="I153" s="91"/>
      <c r="K153" s="91"/>
      <c r="L153" s="96"/>
      <c r="M153" s="100"/>
      <c r="N153" s="104"/>
      <c r="O153" s="108"/>
      <c r="P153" s="112"/>
      <c r="Q153" s="116"/>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row>
    <row r="154" spans="1:47" ht="10.5" x14ac:dyDescent="0.25">
      <c r="A154" s="66"/>
      <c r="B154" s="66"/>
      <c r="C154" s="66"/>
      <c r="D154" s="67"/>
      <c r="E154" s="143"/>
      <c r="F154" s="143"/>
      <c r="G154" s="143"/>
      <c r="H154" s="91"/>
      <c r="I154" s="91"/>
      <c r="K154" s="91"/>
      <c r="L154" s="96"/>
      <c r="M154" s="100"/>
      <c r="N154" s="104"/>
      <c r="O154" s="108"/>
      <c r="P154" s="112"/>
      <c r="Q154" s="116"/>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row>
    <row r="155" spans="1:47" ht="10.5" x14ac:dyDescent="0.25">
      <c r="A155" s="66"/>
      <c r="B155" s="66"/>
      <c r="C155" s="66"/>
      <c r="D155" s="67"/>
      <c r="E155" s="143"/>
      <c r="F155" s="143"/>
      <c r="G155" s="143"/>
      <c r="H155" s="91"/>
      <c r="I155" s="91"/>
      <c r="K155" s="91"/>
      <c r="L155" s="96"/>
      <c r="M155" s="100"/>
      <c r="N155" s="104"/>
      <c r="O155" s="108"/>
      <c r="P155" s="112"/>
      <c r="Q155" s="116"/>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row>
    <row r="156" spans="1:47" ht="10.5" x14ac:dyDescent="0.25">
      <c r="A156" s="66"/>
      <c r="B156" s="66"/>
      <c r="C156" s="66"/>
      <c r="D156" s="67"/>
      <c r="E156" s="143"/>
      <c r="F156" s="143"/>
      <c r="G156" s="143"/>
      <c r="H156" s="91"/>
      <c r="I156" s="91"/>
      <c r="K156" s="91"/>
      <c r="L156" s="96"/>
      <c r="M156" s="100"/>
      <c r="N156" s="104"/>
      <c r="O156" s="108"/>
      <c r="P156" s="112"/>
      <c r="Q156" s="116"/>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row>
    <row r="157" spans="1:47" ht="10.5" x14ac:dyDescent="0.25">
      <c r="A157" s="66"/>
      <c r="B157" s="66"/>
      <c r="C157" s="66"/>
      <c r="D157" s="67"/>
      <c r="E157" s="143"/>
      <c r="F157" s="143"/>
      <c r="G157" s="143"/>
      <c r="H157" s="91"/>
      <c r="I157" s="91"/>
      <c r="K157" s="91"/>
      <c r="L157" s="96"/>
      <c r="M157" s="100"/>
      <c r="N157" s="104"/>
      <c r="O157" s="108"/>
      <c r="P157" s="112"/>
      <c r="Q157" s="116"/>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row>
    <row r="158" spans="1:47" ht="10.5" x14ac:dyDescent="0.25">
      <c r="A158" s="66"/>
      <c r="B158" s="66"/>
      <c r="C158" s="66"/>
      <c r="D158" s="67"/>
      <c r="E158" s="143"/>
      <c r="F158" s="143"/>
      <c r="G158" s="143"/>
      <c r="H158" s="91"/>
      <c r="I158" s="91"/>
      <c r="K158" s="91"/>
      <c r="L158" s="96"/>
      <c r="M158" s="100"/>
      <c r="N158" s="104"/>
      <c r="O158" s="108"/>
      <c r="P158" s="112"/>
      <c r="Q158" s="116"/>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row>
    <row r="159" spans="1:47" ht="10.5" x14ac:dyDescent="0.25">
      <c r="A159" s="66"/>
      <c r="B159" s="66"/>
      <c r="C159" s="66"/>
      <c r="D159" s="67"/>
      <c r="E159" s="143"/>
      <c r="F159" s="143"/>
      <c r="G159" s="143"/>
      <c r="H159" s="91"/>
      <c r="I159" s="91"/>
      <c r="K159" s="91"/>
      <c r="L159" s="96"/>
      <c r="M159" s="100"/>
      <c r="N159" s="104"/>
      <c r="O159" s="108"/>
      <c r="P159" s="112"/>
      <c r="Q159" s="116"/>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row>
    <row r="160" spans="1:47" ht="10.5" x14ac:dyDescent="0.25">
      <c r="A160" s="66"/>
      <c r="B160" s="66"/>
      <c r="C160" s="66"/>
      <c r="D160" s="67"/>
      <c r="E160" s="143"/>
      <c r="F160" s="143"/>
      <c r="G160" s="143"/>
      <c r="H160" s="91"/>
      <c r="I160" s="91"/>
      <c r="K160" s="91"/>
      <c r="L160" s="96"/>
      <c r="M160" s="100"/>
      <c r="N160" s="104"/>
      <c r="O160" s="108"/>
      <c r="P160" s="112"/>
      <c r="Q160" s="116"/>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row>
    <row r="161" spans="1:47" ht="10.5" x14ac:dyDescent="0.25">
      <c r="A161" s="66"/>
      <c r="B161" s="66"/>
      <c r="C161" s="66"/>
      <c r="D161" s="67"/>
      <c r="E161" s="143"/>
      <c r="F161" s="143"/>
      <c r="G161" s="143"/>
      <c r="H161" s="91"/>
      <c r="I161" s="91"/>
      <c r="K161" s="91"/>
      <c r="L161" s="96"/>
      <c r="M161" s="100"/>
      <c r="N161" s="104"/>
      <c r="O161" s="108"/>
      <c r="P161" s="112"/>
      <c r="Q161" s="116"/>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row>
    <row r="162" spans="1:47" ht="10.5" x14ac:dyDescent="0.25">
      <c r="A162" s="66"/>
      <c r="B162" s="66"/>
      <c r="C162" s="66"/>
      <c r="D162" s="67"/>
      <c r="E162" s="143"/>
      <c r="F162" s="143"/>
      <c r="G162" s="143"/>
      <c r="H162" s="91"/>
      <c r="I162" s="91"/>
      <c r="K162" s="91"/>
      <c r="L162" s="96"/>
      <c r="M162" s="100"/>
      <c r="N162" s="104"/>
      <c r="O162" s="108"/>
      <c r="P162" s="112"/>
      <c r="Q162" s="116"/>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row>
    <row r="163" spans="1:47" ht="10.5" x14ac:dyDescent="0.25">
      <c r="A163" s="66"/>
      <c r="B163" s="66"/>
      <c r="C163" s="66"/>
      <c r="D163" s="67"/>
      <c r="E163" s="143"/>
      <c r="F163" s="143"/>
      <c r="G163" s="143"/>
      <c r="H163" s="91"/>
      <c r="I163" s="91"/>
      <c r="K163" s="91"/>
      <c r="L163" s="96"/>
      <c r="M163" s="100"/>
      <c r="N163" s="104"/>
      <c r="O163" s="108"/>
      <c r="P163" s="112"/>
      <c r="Q163" s="116"/>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row>
    <row r="164" spans="1:47" ht="10.5" x14ac:dyDescent="0.25">
      <c r="A164" s="66"/>
      <c r="B164" s="66"/>
      <c r="C164" s="66"/>
      <c r="D164" s="67"/>
      <c r="E164" s="143"/>
      <c r="F164" s="143"/>
      <c r="G164" s="143"/>
      <c r="H164" s="91"/>
      <c r="I164" s="91"/>
      <c r="K164" s="91"/>
      <c r="L164" s="96"/>
      <c r="M164" s="100"/>
      <c r="N164" s="104"/>
      <c r="O164" s="108"/>
      <c r="P164" s="112"/>
      <c r="Q164" s="116"/>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row>
    <row r="165" spans="1:47" ht="13" x14ac:dyDescent="0.3">
      <c r="L165" s="62"/>
    </row>
    <row r="209" spans="70:80" ht="10.5" thickBot="1" x14ac:dyDescent="0.25">
      <c r="BS209" s="92" t="s">
        <v>506</v>
      </c>
    </row>
    <row r="210" spans="70:80" ht="15" thickBot="1" x14ac:dyDescent="0.25">
      <c r="BR210" s="128" t="s">
        <v>507</v>
      </c>
      <c r="BS210" s="130">
        <v>2019</v>
      </c>
      <c r="BT210" s="129">
        <v>2008</v>
      </c>
      <c r="BU210" s="92" t="s">
        <v>508</v>
      </c>
      <c r="BW210" s="214" t="s">
        <v>509</v>
      </c>
      <c r="BX210" s="147" t="s">
        <v>444</v>
      </c>
      <c r="BY210" s="147" t="s">
        <v>445</v>
      </c>
      <c r="BZ210" s="147" t="s">
        <v>446</v>
      </c>
      <c r="CA210" s="147" t="s">
        <v>447</v>
      </c>
      <c r="CB210" s="92" t="s">
        <v>501</v>
      </c>
    </row>
    <row r="211" spans="70:80" ht="15" thickBot="1" x14ac:dyDescent="0.25">
      <c r="BR211" s="131" t="s">
        <v>510</v>
      </c>
      <c r="BS211" s="133">
        <f>BY212</f>
        <v>0.1741</v>
      </c>
      <c r="BT211" s="132">
        <f>BY211</f>
        <v>0.83750000000000002</v>
      </c>
      <c r="BU211" s="92">
        <f>BT211-BS211</f>
        <v>0.66339999999999999</v>
      </c>
      <c r="BW211" s="215" t="s">
        <v>448</v>
      </c>
      <c r="BX211" s="149" t="s">
        <v>449</v>
      </c>
      <c r="BY211" s="150">
        <v>0.83750000000000002</v>
      </c>
      <c r="BZ211" s="151">
        <v>9.69E-2</v>
      </c>
      <c r="CA211" s="152">
        <v>2.87E-2</v>
      </c>
      <c r="CB211" s="205">
        <v>259.80970000000002</v>
      </c>
    </row>
    <row r="212" spans="70:80" ht="15" thickBot="1" x14ac:dyDescent="0.25">
      <c r="BR212" s="134" t="s">
        <v>511</v>
      </c>
      <c r="BS212" s="136">
        <f>BY217</f>
        <v>0.28610000000000002</v>
      </c>
      <c r="BT212" s="135">
        <f>BY215</f>
        <v>1.4508000000000001</v>
      </c>
      <c r="BU212" s="92">
        <f t="shared" ref="BU212:BU218" si="94">BT212-BS212</f>
        <v>1.1647000000000001</v>
      </c>
      <c r="BW212" s="215" t="s">
        <v>450</v>
      </c>
      <c r="BX212" s="149" t="s">
        <v>451</v>
      </c>
      <c r="BY212" s="153">
        <v>0.1741</v>
      </c>
      <c r="BZ212" s="154">
        <v>3.0700000000000002E-2</v>
      </c>
      <c r="CA212" s="152">
        <v>2.87E-2</v>
      </c>
      <c r="CB212" s="206">
        <v>234.30940000000001</v>
      </c>
    </row>
    <row r="213" spans="70:80" ht="15" thickBot="1" x14ac:dyDescent="0.25">
      <c r="BR213" s="131" t="s">
        <v>512</v>
      </c>
      <c r="BS213" s="133">
        <f>(BY227+BY230)/2</f>
        <v>7.8950000000000006E-2</v>
      </c>
      <c r="BT213" s="132">
        <f>(BY225+BY228)/2</f>
        <v>0.14029999999999998</v>
      </c>
      <c r="BU213" s="92">
        <f t="shared" si="94"/>
        <v>6.1349999999999974E-2</v>
      </c>
      <c r="BW213" s="215" t="s">
        <v>452</v>
      </c>
      <c r="BX213" s="149" t="s">
        <v>453</v>
      </c>
      <c r="BY213" s="155">
        <v>0.51370000000000005</v>
      </c>
      <c r="BZ213" s="156">
        <v>4.2000000000000003E-2</v>
      </c>
      <c r="CA213" s="152">
        <v>2.87E-2</v>
      </c>
      <c r="CB213" s="157">
        <v>104.6735</v>
      </c>
    </row>
    <row r="214" spans="70:80" ht="15" thickBot="1" x14ac:dyDescent="0.25">
      <c r="BR214" s="134" t="s">
        <v>513</v>
      </c>
      <c r="BS214" s="136">
        <f>BY220</f>
        <v>0.65529999999999999</v>
      </c>
      <c r="BT214" s="135">
        <f>BY218</f>
        <v>11.5783</v>
      </c>
      <c r="BU214" s="92">
        <f t="shared" si="94"/>
        <v>10.923</v>
      </c>
      <c r="BW214" s="215" t="s">
        <v>454</v>
      </c>
      <c r="BX214" s="149" t="s">
        <v>455</v>
      </c>
      <c r="BY214" s="157">
        <v>4.6199999999999998E-2</v>
      </c>
      <c r="BZ214" s="158">
        <v>3.0099999999999998E-2</v>
      </c>
      <c r="CA214" s="152">
        <v>2.87E-2</v>
      </c>
      <c r="CB214" s="176">
        <v>285.87009999999998</v>
      </c>
    </row>
    <row r="215" spans="70:80" ht="15" thickBot="1" x14ac:dyDescent="0.25">
      <c r="BR215" s="131" t="s">
        <v>514</v>
      </c>
      <c r="BS215" s="273">
        <f>BY223</f>
        <v>0.70389999999999997</v>
      </c>
      <c r="BT215" s="132">
        <f>BY221</f>
        <v>13.7515</v>
      </c>
      <c r="BU215" s="92">
        <f t="shared" si="94"/>
        <v>13.047599999999999</v>
      </c>
      <c r="BW215" s="215" t="s">
        <v>456</v>
      </c>
      <c r="BX215" s="149" t="s">
        <v>457</v>
      </c>
      <c r="BY215" s="159">
        <v>1.4508000000000001</v>
      </c>
      <c r="BZ215" s="160">
        <v>0.1245</v>
      </c>
      <c r="CA215" s="161">
        <v>4.07E-2</v>
      </c>
      <c r="CB215" s="185">
        <v>265.75400000000002</v>
      </c>
    </row>
    <row r="216" spans="70:80" ht="15" thickBot="1" x14ac:dyDescent="0.25">
      <c r="BR216" s="131" t="s">
        <v>387</v>
      </c>
      <c r="BS216" s="273"/>
      <c r="BW216" s="215" t="s">
        <v>458</v>
      </c>
      <c r="BX216" s="149" t="s">
        <v>459</v>
      </c>
      <c r="BY216" s="150">
        <v>0.79779999999999995</v>
      </c>
      <c r="BZ216" s="162">
        <v>5.4600000000000003E-2</v>
      </c>
      <c r="CA216" s="161">
        <v>4.07E-2</v>
      </c>
      <c r="CB216" s="207">
        <v>255.92740000000001</v>
      </c>
    </row>
    <row r="217" spans="70:80" ht="15" thickBot="1" x14ac:dyDescent="0.25">
      <c r="BR217" s="134" t="s">
        <v>515</v>
      </c>
      <c r="BS217" s="136">
        <v>0.72599999999999998</v>
      </c>
      <c r="BT217" s="135">
        <v>1.28</v>
      </c>
      <c r="BU217" s="92">
        <f t="shared" si="94"/>
        <v>0.55400000000000005</v>
      </c>
      <c r="BW217" s="215" t="s">
        <v>460</v>
      </c>
      <c r="BX217" s="149" t="s">
        <v>461</v>
      </c>
      <c r="BY217" s="163">
        <v>0.28610000000000002</v>
      </c>
      <c r="BZ217" s="164">
        <v>4.19E-2</v>
      </c>
      <c r="CA217" s="161">
        <v>4.07E-2</v>
      </c>
      <c r="CB217" s="208">
        <v>1112.6441</v>
      </c>
    </row>
    <row r="218" spans="70:80" ht="15" thickBot="1" x14ac:dyDescent="0.25">
      <c r="BR218" s="137" t="s">
        <v>414</v>
      </c>
      <c r="BS218" s="139">
        <v>0.73599999999999999</v>
      </c>
      <c r="BT218" s="138">
        <v>1.0900000000000001</v>
      </c>
      <c r="BU218" s="92">
        <f t="shared" si="94"/>
        <v>0.35400000000000009</v>
      </c>
      <c r="BW218" s="215" t="s">
        <v>462</v>
      </c>
      <c r="BX218" s="149" t="s">
        <v>463</v>
      </c>
      <c r="BY218" s="165">
        <v>11.5783</v>
      </c>
      <c r="BZ218" s="166">
        <v>0.54239999999999999</v>
      </c>
      <c r="CA218" s="167">
        <v>0.12239999999999999</v>
      </c>
      <c r="CB218" s="209">
        <v>1003.1864</v>
      </c>
    </row>
    <row r="219" spans="70:80" ht="15" thickBot="1" x14ac:dyDescent="0.25">
      <c r="BW219" s="215" t="s">
        <v>464</v>
      </c>
      <c r="BX219" s="149" t="s">
        <v>465</v>
      </c>
      <c r="BY219" s="168">
        <v>7.0769000000000002</v>
      </c>
      <c r="BZ219" s="169">
        <v>0.1799</v>
      </c>
      <c r="CA219" s="170">
        <v>0.1226</v>
      </c>
      <c r="CB219" s="210">
        <v>1011.2913</v>
      </c>
    </row>
    <row r="220" spans="70:80" ht="15" thickBot="1" x14ac:dyDescent="0.25">
      <c r="BW220" s="215" t="s">
        <v>466</v>
      </c>
      <c r="BX220" s="149" t="s">
        <v>467</v>
      </c>
      <c r="BY220" s="171">
        <v>0.65529999999999999</v>
      </c>
      <c r="BZ220" s="172">
        <v>0.1295</v>
      </c>
      <c r="CA220" s="167">
        <v>0.1226</v>
      </c>
      <c r="CB220" s="170">
        <v>1260.4528</v>
      </c>
    </row>
    <row r="221" spans="70:80" ht="15" thickBot="1" x14ac:dyDescent="0.25">
      <c r="BS221" s="92" t="s">
        <v>516</v>
      </c>
      <c r="BU221" s="92" t="s">
        <v>508</v>
      </c>
      <c r="BW221" s="215" t="s">
        <v>468</v>
      </c>
      <c r="BX221" s="149" t="s">
        <v>469</v>
      </c>
      <c r="BY221" s="170">
        <v>13.7515</v>
      </c>
      <c r="BZ221" s="170">
        <v>0.60519999999999996</v>
      </c>
      <c r="CA221" s="173">
        <v>0.11409999999999999</v>
      </c>
      <c r="CB221" s="166">
        <v>1140.6316999999999</v>
      </c>
    </row>
    <row r="222" spans="70:80" ht="15" thickBot="1" x14ac:dyDescent="0.25">
      <c r="BR222" s="128" t="s">
        <v>507</v>
      </c>
      <c r="BS222" s="130">
        <v>2019</v>
      </c>
      <c r="BT222" s="129">
        <v>2008</v>
      </c>
      <c r="BW222" s="215" t="s">
        <v>470</v>
      </c>
      <c r="BX222" s="149" t="s">
        <v>471</v>
      </c>
      <c r="BY222" s="174">
        <v>8.3763000000000005</v>
      </c>
      <c r="BZ222" s="175">
        <v>0.18110000000000001</v>
      </c>
      <c r="CA222" s="173">
        <v>0.11409999999999999</v>
      </c>
      <c r="CB222" s="211">
        <v>1152.9453000000001</v>
      </c>
    </row>
    <row r="223" spans="70:80" ht="15" thickBot="1" x14ac:dyDescent="0.25">
      <c r="BR223" s="131" t="s">
        <v>510</v>
      </c>
      <c r="BS223" s="133">
        <f>BZ212</f>
        <v>3.0700000000000002E-2</v>
      </c>
      <c r="BT223" s="132">
        <f>BZ211</f>
        <v>9.69E-2</v>
      </c>
      <c r="BU223" s="92">
        <f>BT223-BS223</f>
        <v>6.6199999999999995E-2</v>
      </c>
      <c r="BW223" s="215" t="s">
        <v>472</v>
      </c>
      <c r="BX223" s="149" t="s">
        <v>473</v>
      </c>
      <c r="BY223" s="176">
        <v>0.70389999999999997</v>
      </c>
      <c r="BZ223" s="160">
        <v>0.122</v>
      </c>
      <c r="CA223" s="173">
        <v>0.11409999999999999</v>
      </c>
      <c r="CB223" s="149"/>
    </row>
    <row r="224" spans="70:80" ht="15" thickBot="1" x14ac:dyDescent="0.25">
      <c r="BR224" s="134" t="s">
        <v>511</v>
      </c>
      <c r="BS224" s="136">
        <f>BZ217</f>
        <v>4.19E-2</v>
      </c>
      <c r="BT224" s="135">
        <f>BZ215</f>
        <v>0.1245</v>
      </c>
      <c r="BU224" s="92">
        <f t="shared" ref="BU224:BU230" si="95">BT224-BS224</f>
        <v>8.2600000000000007E-2</v>
      </c>
      <c r="BW224" s="215" t="s">
        <v>474</v>
      </c>
      <c r="BX224" s="149" t="s">
        <v>475</v>
      </c>
      <c r="BY224" s="177">
        <v>7.0400000000000004E-2</v>
      </c>
      <c r="BZ224" s="170">
        <v>0.1203</v>
      </c>
      <c r="CA224" s="178">
        <v>0.1103</v>
      </c>
      <c r="CB224" s="212">
        <v>124.41330000000001</v>
      </c>
    </row>
    <row r="225" spans="70:80" ht="15" thickBot="1" x14ac:dyDescent="0.25">
      <c r="BR225" s="131" t="s">
        <v>512</v>
      </c>
      <c r="BS225" s="133">
        <f>(BZ227+BZ230)/2</f>
        <v>2.085E-2</v>
      </c>
      <c r="BT225" s="132">
        <f>(BZ225+BZ228)/2</f>
        <v>9.3149999999999997E-2</v>
      </c>
      <c r="BU225" s="92">
        <f t="shared" si="95"/>
        <v>7.2300000000000003E-2</v>
      </c>
      <c r="BW225" s="215" t="s">
        <v>476</v>
      </c>
      <c r="BX225" s="149" t="s">
        <v>477</v>
      </c>
      <c r="BY225" s="179">
        <v>0.11799999999999999</v>
      </c>
      <c r="BZ225" s="160">
        <v>0.1234</v>
      </c>
      <c r="CA225" s="157">
        <v>1.29E-2</v>
      </c>
      <c r="CB225" s="213">
        <v>113.2597</v>
      </c>
    </row>
    <row r="226" spans="70:80" ht="15" thickBot="1" x14ac:dyDescent="0.25">
      <c r="BR226" s="134" t="s">
        <v>513</v>
      </c>
      <c r="BS226" s="136">
        <f>BZ220</f>
        <v>0.1295</v>
      </c>
      <c r="BT226" s="135">
        <f>BZ218</f>
        <v>0.54239999999999999</v>
      </c>
      <c r="BU226" s="92">
        <f t="shared" si="95"/>
        <v>0.41289999999999999</v>
      </c>
      <c r="BW226" s="215" t="s">
        <v>478</v>
      </c>
      <c r="BX226" s="149" t="s">
        <v>479</v>
      </c>
      <c r="BY226" s="180">
        <v>0.17</v>
      </c>
      <c r="BZ226" s="181">
        <v>3.8899999999999997E-2</v>
      </c>
      <c r="CA226" s="157">
        <v>1.29E-2</v>
      </c>
      <c r="CB226" s="182">
        <v>131.9034</v>
      </c>
    </row>
    <row r="227" spans="70:80" ht="15" thickBot="1" x14ac:dyDescent="0.25">
      <c r="BR227" s="131" t="s">
        <v>514</v>
      </c>
      <c r="BS227" s="273">
        <f>BZ223</f>
        <v>0.122</v>
      </c>
      <c r="BT227" s="132">
        <f>BZ221</f>
        <v>0.60519999999999996</v>
      </c>
      <c r="BU227" s="92">
        <f t="shared" si="95"/>
        <v>0.48319999999999996</v>
      </c>
      <c r="BW227" s="215" t="s">
        <v>480</v>
      </c>
      <c r="BX227" s="149" t="s">
        <v>481</v>
      </c>
      <c r="BY227" s="182">
        <v>0.1072</v>
      </c>
      <c r="BZ227" s="183">
        <v>2.2800000000000001E-2</v>
      </c>
      <c r="CA227" s="157">
        <v>1.29E-2</v>
      </c>
    </row>
    <row r="228" spans="70:80" ht="15" thickBot="1" x14ac:dyDescent="0.25">
      <c r="BR228" s="131" t="s">
        <v>387</v>
      </c>
      <c r="BS228" s="273"/>
      <c r="BU228" s="92">
        <f t="shared" si="95"/>
        <v>0</v>
      </c>
      <c r="BW228" s="215" t="s">
        <v>482</v>
      </c>
      <c r="BX228" s="149" t="s">
        <v>483</v>
      </c>
      <c r="BY228" s="184">
        <v>0.16259999999999999</v>
      </c>
      <c r="BZ228" s="185">
        <v>6.2899999999999998E-2</v>
      </c>
      <c r="CA228" s="157">
        <v>1.29E-2</v>
      </c>
    </row>
    <row r="229" spans="70:80" ht="15" thickBot="1" x14ac:dyDescent="0.25">
      <c r="BR229" s="134" t="s">
        <v>515</v>
      </c>
      <c r="BS229" s="136">
        <v>2.3E-2</v>
      </c>
      <c r="BT229" s="135">
        <v>0.214</v>
      </c>
      <c r="BU229" s="92">
        <f t="shared" si="95"/>
        <v>0.191</v>
      </c>
      <c r="BW229" s="215" t="s">
        <v>484</v>
      </c>
      <c r="BX229" s="149" t="s">
        <v>485</v>
      </c>
      <c r="BY229" s="186">
        <v>0.12659999999999999</v>
      </c>
      <c r="BZ229" s="187">
        <v>2.6599999999999999E-2</v>
      </c>
      <c r="CA229" s="157">
        <v>1.29E-2</v>
      </c>
    </row>
    <row r="230" spans="70:80" ht="15" thickBot="1" x14ac:dyDescent="0.25">
      <c r="BR230" s="137" t="s">
        <v>414</v>
      </c>
      <c r="BS230" s="139">
        <v>5.1999999999999998E-2</v>
      </c>
      <c r="BT230" s="138">
        <v>7.3999999999999996E-2</v>
      </c>
      <c r="BU230" s="92">
        <f t="shared" si="95"/>
        <v>2.1999999999999999E-2</v>
      </c>
      <c r="BW230" s="215" t="s">
        <v>486</v>
      </c>
      <c r="BX230" s="149" t="s">
        <v>487</v>
      </c>
      <c r="BY230" s="188">
        <v>5.0700000000000002E-2</v>
      </c>
      <c r="BZ230" s="157">
        <v>1.89E-2</v>
      </c>
      <c r="CA230" s="157">
        <v>1.29E-2</v>
      </c>
    </row>
    <row r="232" spans="70:80" x14ac:dyDescent="0.2">
      <c r="BS232" s="92" t="s">
        <v>501</v>
      </c>
      <c r="BU232" s="92" t="s">
        <v>508</v>
      </c>
    </row>
    <row r="233" spans="70:80" x14ac:dyDescent="0.2">
      <c r="BR233" s="128" t="s">
        <v>507</v>
      </c>
      <c r="BS233" s="130">
        <v>2019</v>
      </c>
      <c r="BT233" s="129">
        <v>2008</v>
      </c>
    </row>
    <row r="234" spans="70:80" x14ac:dyDescent="0.2">
      <c r="BR234" s="131" t="s">
        <v>510</v>
      </c>
      <c r="BS234" s="133">
        <f>CB212</f>
        <v>234.30940000000001</v>
      </c>
      <c r="BT234" s="132">
        <f>CB211</f>
        <v>259.80970000000002</v>
      </c>
      <c r="BU234" s="92">
        <f>BT234-BS234</f>
        <v>25.50030000000001</v>
      </c>
    </row>
    <row r="235" spans="70:80" x14ac:dyDescent="0.2">
      <c r="BR235" s="134" t="s">
        <v>511</v>
      </c>
      <c r="BS235" s="136">
        <f>CB216</f>
        <v>255.92740000000001</v>
      </c>
      <c r="BT235" s="135">
        <f>CB214</f>
        <v>285.87009999999998</v>
      </c>
      <c r="BU235" s="92">
        <f t="shared" ref="BU235:BU241" si="96">BT235-BS235</f>
        <v>29.942699999999974</v>
      </c>
    </row>
    <row r="236" spans="70:80" x14ac:dyDescent="0.2">
      <c r="BR236" s="131" t="s">
        <v>512</v>
      </c>
      <c r="BS236" s="133">
        <f>CB225</f>
        <v>113.2597</v>
      </c>
      <c r="BT236" s="132">
        <f>CB224</f>
        <v>124.41330000000001</v>
      </c>
      <c r="BU236" s="92">
        <f t="shared" si="96"/>
        <v>11.153600000000012</v>
      </c>
    </row>
    <row r="237" spans="70:80" x14ac:dyDescent="0.2">
      <c r="BR237" s="134" t="s">
        <v>513</v>
      </c>
      <c r="BS237" s="136">
        <f>CB219</f>
        <v>1011.2913</v>
      </c>
      <c r="BT237" s="135">
        <f>CB217</f>
        <v>1112.6441</v>
      </c>
      <c r="BU237" s="92">
        <f t="shared" si="96"/>
        <v>101.3528</v>
      </c>
    </row>
    <row r="238" spans="70:80" x14ac:dyDescent="0.2">
      <c r="BR238" s="131" t="s">
        <v>514</v>
      </c>
      <c r="BS238" s="273">
        <f>CB222</f>
        <v>1152.9453000000001</v>
      </c>
      <c r="BT238" s="132">
        <f>CB220</f>
        <v>1260.4528</v>
      </c>
      <c r="BU238" s="92">
        <f t="shared" si="96"/>
        <v>107.50749999999994</v>
      </c>
    </row>
    <row r="239" spans="70:80" x14ac:dyDescent="0.2">
      <c r="BR239" s="131" t="s">
        <v>387</v>
      </c>
      <c r="BS239" s="273"/>
      <c r="BU239" s="92">
        <f t="shared" si="96"/>
        <v>0</v>
      </c>
    </row>
    <row r="240" spans="70:80" x14ac:dyDescent="0.2">
      <c r="BR240" s="134" t="s">
        <v>515</v>
      </c>
      <c r="BS240" s="136"/>
      <c r="BT240" s="135"/>
      <c r="BU240" s="92">
        <f t="shared" si="96"/>
        <v>0</v>
      </c>
    </row>
    <row r="241" spans="70:73" x14ac:dyDescent="0.2">
      <c r="BR241" s="137" t="s">
        <v>414</v>
      </c>
      <c r="BS241" s="139">
        <v>5.1999999999999998E-2</v>
      </c>
      <c r="BT241" s="138">
        <v>7.3999999999999996E-2</v>
      </c>
      <c r="BU241" s="92">
        <f t="shared" si="96"/>
        <v>2.1999999999999999E-2</v>
      </c>
    </row>
  </sheetData>
  <mergeCells count="3">
    <mergeCell ref="BS215:BS216"/>
    <mergeCell ref="BS227:BS228"/>
    <mergeCell ref="BS238:BS239"/>
  </mergeCells>
  <phoneticPr fontId="1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E9264-6B9F-4F80-B700-E567F22DED43}">
  <dimension ref="A1:A175"/>
  <sheetViews>
    <sheetView topLeftCell="A147" workbookViewId="0">
      <selection activeCell="B28" sqref="B28"/>
    </sheetView>
  </sheetViews>
  <sheetFormatPr baseColWidth="10" defaultColWidth="11.453125" defaultRowHeight="14.5" x14ac:dyDescent="0.35"/>
  <sheetData>
    <row r="1" spans="1:1" x14ac:dyDescent="0.35">
      <c r="A1" s="67" t="s">
        <v>53</v>
      </c>
    </row>
    <row r="2" spans="1:1" x14ac:dyDescent="0.35">
      <c r="A2" s="67" t="s">
        <v>67</v>
      </c>
    </row>
    <row r="3" spans="1:1" x14ac:dyDescent="0.35">
      <c r="A3" s="67" t="s">
        <v>55</v>
      </c>
    </row>
    <row r="4" spans="1:1" x14ac:dyDescent="0.35">
      <c r="A4" s="67" t="s">
        <v>57</v>
      </c>
    </row>
    <row r="5" spans="1:1" x14ac:dyDescent="0.35">
      <c r="A5" s="67" t="s">
        <v>59</v>
      </c>
    </row>
    <row r="6" spans="1:1" x14ac:dyDescent="0.35">
      <c r="A6" s="67" t="s">
        <v>61</v>
      </c>
    </row>
    <row r="7" spans="1:1" x14ac:dyDescent="0.35">
      <c r="A7" s="67" t="s">
        <v>63</v>
      </c>
    </row>
    <row r="8" spans="1:1" x14ac:dyDescent="0.35">
      <c r="A8" s="67" t="s">
        <v>65</v>
      </c>
    </row>
    <row r="9" spans="1:1" x14ac:dyDescent="0.35">
      <c r="A9" s="67" t="s">
        <v>69</v>
      </c>
    </row>
    <row r="10" spans="1:1" x14ac:dyDescent="0.35">
      <c r="A10" s="67" t="s">
        <v>377</v>
      </c>
    </row>
    <row r="11" spans="1:1" x14ac:dyDescent="0.35">
      <c r="A11" s="144" t="s">
        <v>315</v>
      </c>
    </row>
    <row r="12" spans="1:1" x14ac:dyDescent="0.35">
      <c r="A12" s="67" t="s">
        <v>71</v>
      </c>
    </row>
    <row r="13" spans="1:1" x14ac:dyDescent="0.35">
      <c r="A13" s="67" t="s">
        <v>73</v>
      </c>
    </row>
    <row r="14" spans="1:1" x14ac:dyDescent="0.35">
      <c r="A14" s="67" t="s">
        <v>75</v>
      </c>
    </row>
    <row r="15" spans="1:1" x14ac:dyDescent="0.35">
      <c r="A15" s="67" t="s">
        <v>77</v>
      </c>
    </row>
    <row r="16" spans="1:1" x14ac:dyDescent="0.35">
      <c r="A16" s="67" t="s">
        <v>79</v>
      </c>
    </row>
    <row r="17" spans="1:1" x14ac:dyDescent="0.35">
      <c r="A17" s="67" t="s">
        <v>81</v>
      </c>
    </row>
    <row r="18" spans="1:1" x14ac:dyDescent="0.35">
      <c r="A18" s="67" t="s">
        <v>85</v>
      </c>
    </row>
    <row r="19" spans="1:1" x14ac:dyDescent="0.35">
      <c r="A19" s="67" t="s">
        <v>83</v>
      </c>
    </row>
    <row r="20" spans="1:1" x14ac:dyDescent="0.35">
      <c r="A20" s="67" t="s">
        <v>87</v>
      </c>
    </row>
    <row r="21" spans="1:1" x14ac:dyDescent="0.35">
      <c r="A21" s="67" t="s">
        <v>89</v>
      </c>
    </row>
    <row r="22" spans="1:1" x14ac:dyDescent="0.35">
      <c r="A22" s="67" t="s">
        <v>91</v>
      </c>
    </row>
    <row r="23" spans="1:1" x14ac:dyDescent="0.35">
      <c r="A23" s="67" t="s">
        <v>93</v>
      </c>
    </row>
    <row r="24" spans="1:1" x14ac:dyDescent="0.35">
      <c r="A24" s="67" t="s">
        <v>95</v>
      </c>
    </row>
    <row r="25" spans="1:1" x14ac:dyDescent="0.35">
      <c r="A25" s="67" t="s">
        <v>97</v>
      </c>
    </row>
    <row r="26" spans="1:1" x14ac:dyDescent="0.35">
      <c r="A26" s="67" t="s">
        <v>99</v>
      </c>
    </row>
    <row r="27" spans="1:1" x14ac:dyDescent="0.35">
      <c r="A27" s="67" t="s">
        <v>101</v>
      </c>
    </row>
    <row r="28" spans="1:1" x14ac:dyDescent="0.35">
      <c r="A28" s="67" t="s">
        <v>103</v>
      </c>
    </row>
    <row r="29" spans="1:1" x14ac:dyDescent="0.35">
      <c r="A29" s="67" t="s">
        <v>105</v>
      </c>
    </row>
    <row r="30" spans="1:1" x14ac:dyDescent="0.35">
      <c r="A30" s="67" t="s">
        <v>107</v>
      </c>
    </row>
    <row r="31" spans="1:1" x14ac:dyDescent="0.35">
      <c r="A31" s="67" t="s">
        <v>109</v>
      </c>
    </row>
    <row r="32" spans="1:1" x14ac:dyDescent="0.35">
      <c r="A32" s="67" t="s">
        <v>111</v>
      </c>
    </row>
    <row r="33" spans="1:1" x14ac:dyDescent="0.35">
      <c r="A33" s="67" t="s">
        <v>113</v>
      </c>
    </row>
    <row r="34" spans="1:1" x14ac:dyDescent="0.35">
      <c r="A34" s="67" t="s">
        <v>115</v>
      </c>
    </row>
    <row r="35" spans="1:1" x14ac:dyDescent="0.35">
      <c r="A35" s="67" t="s">
        <v>329</v>
      </c>
    </row>
    <row r="36" spans="1:1" x14ac:dyDescent="0.35">
      <c r="A36" s="67" t="s">
        <v>117</v>
      </c>
    </row>
    <row r="37" spans="1:1" x14ac:dyDescent="0.35">
      <c r="A37" s="67" t="s">
        <v>119</v>
      </c>
    </row>
    <row r="38" spans="1:1" x14ac:dyDescent="0.35">
      <c r="A38" s="67" t="s">
        <v>121</v>
      </c>
    </row>
    <row r="39" spans="1:1" x14ac:dyDescent="0.35">
      <c r="A39" s="67" t="s">
        <v>123</v>
      </c>
    </row>
    <row r="40" spans="1:1" x14ac:dyDescent="0.35">
      <c r="A40" s="67" t="s">
        <v>125</v>
      </c>
    </row>
    <row r="41" spans="1:1" x14ac:dyDescent="0.35">
      <c r="A41" s="67" t="s">
        <v>127</v>
      </c>
    </row>
    <row r="42" spans="1:1" x14ac:dyDescent="0.35">
      <c r="A42" s="67" t="s">
        <v>129</v>
      </c>
    </row>
    <row r="43" spans="1:1" x14ac:dyDescent="0.35">
      <c r="A43" s="67" t="s">
        <v>131</v>
      </c>
    </row>
    <row r="44" spans="1:1" x14ac:dyDescent="0.35">
      <c r="A44" s="67" t="s">
        <v>187</v>
      </c>
    </row>
    <row r="45" spans="1:1" x14ac:dyDescent="0.35">
      <c r="A45" s="67" t="s">
        <v>133</v>
      </c>
    </row>
    <row r="46" spans="1:1" x14ac:dyDescent="0.35">
      <c r="A46" s="67" t="s">
        <v>135</v>
      </c>
    </row>
    <row r="47" spans="1:1" x14ac:dyDescent="0.35">
      <c r="A47" s="67" t="s">
        <v>137</v>
      </c>
    </row>
    <row r="48" spans="1:1" x14ac:dyDescent="0.35">
      <c r="A48" s="67" t="s">
        <v>139</v>
      </c>
    </row>
    <row r="49" spans="1:1" x14ac:dyDescent="0.35">
      <c r="A49" s="67" t="s">
        <v>141</v>
      </c>
    </row>
    <row r="50" spans="1:1" x14ac:dyDescent="0.35">
      <c r="A50" s="67" t="s">
        <v>143</v>
      </c>
    </row>
    <row r="51" spans="1:1" x14ac:dyDescent="0.35">
      <c r="A51" s="67" t="s">
        <v>145</v>
      </c>
    </row>
    <row r="52" spans="1:1" x14ac:dyDescent="0.35">
      <c r="A52" s="67" t="s">
        <v>147</v>
      </c>
    </row>
    <row r="53" spans="1:1" x14ac:dyDescent="0.35">
      <c r="A53" s="67" t="s">
        <v>149</v>
      </c>
    </row>
    <row r="54" spans="1:1" x14ac:dyDescent="0.35">
      <c r="A54" s="67" t="s">
        <v>151</v>
      </c>
    </row>
    <row r="55" spans="1:1" x14ac:dyDescent="0.35">
      <c r="A55" s="67" t="s">
        <v>151</v>
      </c>
    </row>
    <row r="56" spans="1:1" x14ac:dyDescent="0.35">
      <c r="A56" s="67" t="s">
        <v>153</v>
      </c>
    </row>
    <row r="57" spans="1:1" x14ac:dyDescent="0.35">
      <c r="A57" s="67" t="s">
        <v>155</v>
      </c>
    </row>
    <row r="58" spans="1:1" x14ac:dyDescent="0.35">
      <c r="A58" s="67" t="s">
        <v>504</v>
      </c>
    </row>
    <row r="59" spans="1:1" x14ac:dyDescent="0.35">
      <c r="A59" s="67" t="s">
        <v>379</v>
      </c>
    </row>
    <row r="60" spans="1:1" x14ac:dyDescent="0.35">
      <c r="A60" s="67" t="s">
        <v>157</v>
      </c>
    </row>
    <row r="61" spans="1:1" x14ac:dyDescent="0.35">
      <c r="A61" s="67" t="s">
        <v>161</v>
      </c>
    </row>
    <row r="62" spans="1:1" x14ac:dyDescent="0.35">
      <c r="A62" s="67" t="s">
        <v>163</v>
      </c>
    </row>
    <row r="63" spans="1:1" x14ac:dyDescent="0.35">
      <c r="A63" s="67" t="s">
        <v>159</v>
      </c>
    </row>
    <row r="64" spans="1:1" x14ac:dyDescent="0.35">
      <c r="A64" s="67" t="s">
        <v>165</v>
      </c>
    </row>
    <row r="65" spans="1:1" x14ac:dyDescent="0.35">
      <c r="A65" s="67" t="s">
        <v>502</v>
      </c>
    </row>
    <row r="66" spans="1:1" x14ac:dyDescent="0.35">
      <c r="A66" s="67" t="s">
        <v>167</v>
      </c>
    </row>
    <row r="67" spans="1:1" x14ac:dyDescent="0.35">
      <c r="A67" s="67" t="s">
        <v>169</v>
      </c>
    </row>
    <row r="68" spans="1:1" x14ac:dyDescent="0.35">
      <c r="A68" s="67" t="s">
        <v>171</v>
      </c>
    </row>
    <row r="69" spans="1:1" x14ac:dyDescent="0.35">
      <c r="A69" s="67" t="s">
        <v>173</v>
      </c>
    </row>
    <row r="70" spans="1:1" x14ac:dyDescent="0.35">
      <c r="A70" s="67" t="s">
        <v>175</v>
      </c>
    </row>
    <row r="71" spans="1:1" x14ac:dyDescent="0.35">
      <c r="A71" s="67" t="s">
        <v>175</v>
      </c>
    </row>
    <row r="72" spans="1:1" x14ac:dyDescent="0.35">
      <c r="A72" s="67" t="s">
        <v>177</v>
      </c>
    </row>
    <row r="73" spans="1:1" x14ac:dyDescent="0.35">
      <c r="A73" s="67" t="s">
        <v>179</v>
      </c>
    </row>
    <row r="74" spans="1:1" x14ac:dyDescent="0.35">
      <c r="A74" s="67" t="s">
        <v>181</v>
      </c>
    </row>
    <row r="75" spans="1:1" x14ac:dyDescent="0.35">
      <c r="A75" s="67" t="s">
        <v>181</v>
      </c>
    </row>
    <row r="76" spans="1:1" x14ac:dyDescent="0.35">
      <c r="A76" s="67" t="s">
        <v>183</v>
      </c>
    </row>
    <row r="77" spans="1:1" x14ac:dyDescent="0.35">
      <c r="A77" s="67" t="s">
        <v>185</v>
      </c>
    </row>
    <row r="78" spans="1:1" x14ac:dyDescent="0.35">
      <c r="A78" s="67" t="s">
        <v>189</v>
      </c>
    </row>
    <row r="79" spans="1:1" x14ac:dyDescent="0.35">
      <c r="A79" s="67" t="s">
        <v>191</v>
      </c>
    </row>
    <row r="80" spans="1:1" x14ac:dyDescent="0.35">
      <c r="A80" s="67" t="s">
        <v>193</v>
      </c>
    </row>
    <row r="81" spans="1:1" x14ac:dyDescent="0.35">
      <c r="A81" s="67" t="s">
        <v>195</v>
      </c>
    </row>
    <row r="82" spans="1:1" x14ac:dyDescent="0.35">
      <c r="A82" s="67" t="s">
        <v>197</v>
      </c>
    </row>
    <row r="83" spans="1:1" x14ac:dyDescent="0.35">
      <c r="A83" s="67" t="s">
        <v>199</v>
      </c>
    </row>
    <row r="84" spans="1:1" x14ac:dyDescent="0.35">
      <c r="A84" s="67" t="s">
        <v>201</v>
      </c>
    </row>
    <row r="85" spans="1:1" x14ac:dyDescent="0.35">
      <c r="A85" s="67" t="s">
        <v>203</v>
      </c>
    </row>
    <row r="86" spans="1:1" x14ac:dyDescent="0.35">
      <c r="A86" s="67" t="s">
        <v>205</v>
      </c>
    </row>
    <row r="87" spans="1:1" x14ac:dyDescent="0.35">
      <c r="A87" s="67" t="s">
        <v>207</v>
      </c>
    </row>
    <row r="88" spans="1:1" x14ac:dyDescent="0.35">
      <c r="A88" s="67" t="s">
        <v>209</v>
      </c>
    </row>
    <row r="89" spans="1:1" x14ac:dyDescent="0.35">
      <c r="A89" s="67" t="s">
        <v>211</v>
      </c>
    </row>
    <row r="90" spans="1:1" x14ac:dyDescent="0.35">
      <c r="A90" s="67" t="s">
        <v>213</v>
      </c>
    </row>
    <row r="91" spans="1:1" x14ac:dyDescent="0.35">
      <c r="A91" s="67" t="s">
        <v>215</v>
      </c>
    </row>
    <row r="92" spans="1:1" x14ac:dyDescent="0.35">
      <c r="A92" s="67" t="s">
        <v>217</v>
      </c>
    </row>
    <row r="93" spans="1:1" x14ac:dyDescent="0.35">
      <c r="A93" s="67" t="s">
        <v>219</v>
      </c>
    </row>
    <row r="94" spans="1:1" x14ac:dyDescent="0.35">
      <c r="A94" s="67" t="s">
        <v>221</v>
      </c>
    </row>
    <row r="95" spans="1:1" x14ac:dyDescent="0.35">
      <c r="A95" s="67" t="s">
        <v>223</v>
      </c>
    </row>
    <row r="96" spans="1:1" x14ac:dyDescent="0.35">
      <c r="A96" s="67" t="s">
        <v>225</v>
      </c>
    </row>
    <row r="97" spans="1:1" x14ac:dyDescent="0.35">
      <c r="A97" s="67" t="s">
        <v>287</v>
      </c>
    </row>
    <row r="98" spans="1:1" x14ac:dyDescent="0.35">
      <c r="A98" s="67" t="s">
        <v>227</v>
      </c>
    </row>
    <row r="99" spans="1:1" x14ac:dyDescent="0.35">
      <c r="A99" s="67" t="s">
        <v>229</v>
      </c>
    </row>
    <row r="100" spans="1:1" x14ac:dyDescent="0.35">
      <c r="A100" s="67" t="s">
        <v>231</v>
      </c>
    </row>
    <row r="101" spans="1:1" x14ac:dyDescent="0.35">
      <c r="A101" s="67" t="s">
        <v>233</v>
      </c>
    </row>
    <row r="102" spans="1:1" x14ac:dyDescent="0.35">
      <c r="A102" s="67" t="s">
        <v>235</v>
      </c>
    </row>
    <row r="103" spans="1:1" x14ac:dyDescent="0.35">
      <c r="A103" s="67" t="s">
        <v>237</v>
      </c>
    </row>
    <row r="104" spans="1:1" x14ac:dyDescent="0.35">
      <c r="A104" s="67" t="s">
        <v>237</v>
      </c>
    </row>
    <row r="105" spans="1:1" x14ac:dyDescent="0.35">
      <c r="A105" s="67" t="s">
        <v>239</v>
      </c>
    </row>
    <row r="106" spans="1:1" x14ac:dyDescent="0.35">
      <c r="A106" s="67" t="s">
        <v>239</v>
      </c>
    </row>
    <row r="107" spans="1:1" x14ac:dyDescent="0.35">
      <c r="A107" s="67" t="s">
        <v>243</v>
      </c>
    </row>
    <row r="108" spans="1:1" x14ac:dyDescent="0.35">
      <c r="A108" s="67" t="s">
        <v>245</v>
      </c>
    </row>
    <row r="109" spans="1:1" x14ac:dyDescent="0.35">
      <c r="A109" s="67" t="s">
        <v>247</v>
      </c>
    </row>
    <row r="110" spans="1:1" x14ac:dyDescent="0.35">
      <c r="A110" s="67" t="s">
        <v>249</v>
      </c>
    </row>
    <row r="111" spans="1:1" x14ac:dyDescent="0.35">
      <c r="A111" s="67" t="s">
        <v>251</v>
      </c>
    </row>
    <row r="112" spans="1:1" x14ac:dyDescent="0.35">
      <c r="A112" s="67" t="s">
        <v>255</v>
      </c>
    </row>
    <row r="113" spans="1:1" x14ac:dyDescent="0.35">
      <c r="A113" s="67" t="s">
        <v>253</v>
      </c>
    </row>
    <row r="114" spans="1:1" x14ac:dyDescent="0.35">
      <c r="A114" s="67" t="s">
        <v>257</v>
      </c>
    </row>
    <row r="115" spans="1:1" x14ac:dyDescent="0.35">
      <c r="A115" s="67" t="s">
        <v>259</v>
      </c>
    </row>
    <row r="116" spans="1:1" x14ac:dyDescent="0.35">
      <c r="A116" s="67" t="s">
        <v>261</v>
      </c>
    </row>
    <row r="117" spans="1:1" x14ac:dyDescent="0.35">
      <c r="A117" s="67" t="s">
        <v>263</v>
      </c>
    </row>
    <row r="118" spans="1:1" x14ac:dyDescent="0.35">
      <c r="A118" s="67" t="s">
        <v>265</v>
      </c>
    </row>
    <row r="119" spans="1:1" x14ac:dyDescent="0.35">
      <c r="A119" s="67" t="s">
        <v>269</v>
      </c>
    </row>
    <row r="120" spans="1:1" x14ac:dyDescent="0.35">
      <c r="A120" s="67" t="s">
        <v>271</v>
      </c>
    </row>
    <row r="121" spans="1:1" x14ac:dyDescent="0.35">
      <c r="A121" s="67" t="s">
        <v>267</v>
      </c>
    </row>
    <row r="122" spans="1:1" x14ac:dyDescent="0.35">
      <c r="A122" s="67" t="s">
        <v>241</v>
      </c>
    </row>
    <row r="123" spans="1:1" x14ac:dyDescent="0.35">
      <c r="A123" s="67" t="s">
        <v>275</v>
      </c>
    </row>
    <row r="124" spans="1:1" x14ac:dyDescent="0.35">
      <c r="A124" s="67" t="s">
        <v>279</v>
      </c>
    </row>
    <row r="125" spans="1:1" x14ac:dyDescent="0.35">
      <c r="A125" s="67" t="s">
        <v>281</v>
      </c>
    </row>
    <row r="126" spans="1:1" x14ac:dyDescent="0.35">
      <c r="A126" s="67" t="s">
        <v>283</v>
      </c>
    </row>
    <row r="127" spans="1:1" x14ac:dyDescent="0.35">
      <c r="A127" s="67" t="s">
        <v>285</v>
      </c>
    </row>
    <row r="128" spans="1:1" x14ac:dyDescent="0.35">
      <c r="A128" s="67" t="s">
        <v>289</v>
      </c>
    </row>
    <row r="129" spans="1:1" x14ac:dyDescent="0.35">
      <c r="A129" s="67" t="s">
        <v>291</v>
      </c>
    </row>
    <row r="130" spans="1:1" x14ac:dyDescent="0.35">
      <c r="A130" s="67" t="s">
        <v>293</v>
      </c>
    </row>
    <row r="131" spans="1:1" x14ac:dyDescent="0.35">
      <c r="A131" s="67" t="s">
        <v>295</v>
      </c>
    </row>
    <row r="132" spans="1:1" x14ac:dyDescent="0.35">
      <c r="A132" s="67" t="s">
        <v>297</v>
      </c>
    </row>
    <row r="133" spans="1:1" x14ac:dyDescent="0.35">
      <c r="A133" s="67" t="s">
        <v>299</v>
      </c>
    </row>
    <row r="134" spans="1:1" x14ac:dyDescent="0.35">
      <c r="A134" s="67" t="s">
        <v>301</v>
      </c>
    </row>
    <row r="135" spans="1:1" x14ac:dyDescent="0.35">
      <c r="A135" s="67" t="s">
        <v>303</v>
      </c>
    </row>
    <row r="136" spans="1:1" x14ac:dyDescent="0.35">
      <c r="A136" s="67" t="s">
        <v>327</v>
      </c>
    </row>
    <row r="137" spans="1:1" x14ac:dyDescent="0.35">
      <c r="A137" s="67" t="s">
        <v>325</v>
      </c>
    </row>
    <row r="138" spans="1:1" x14ac:dyDescent="0.35">
      <c r="A138" s="67" t="s">
        <v>305</v>
      </c>
    </row>
    <row r="139" spans="1:1" x14ac:dyDescent="0.35">
      <c r="A139" s="67" t="s">
        <v>307</v>
      </c>
    </row>
    <row r="140" spans="1:1" x14ac:dyDescent="0.35">
      <c r="A140" s="67" t="s">
        <v>309</v>
      </c>
    </row>
    <row r="141" spans="1:1" x14ac:dyDescent="0.35">
      <c r="A141" s="67" t="s">
        <v>311</v>
      </c>
    </row>
    <row r="142" spans="1:1" x14ac:dyDescent="0.35">
      <c r="A142" s="67" t="s">
        <v>313</v>
      </c>
    </row>
    <row r="143" spans="1:1" x14ac:dyDescent="0.35">
      <c r="A143" s="67" t="s">
        <v>317</v>
      </c>
    </row>
    <row r="144" spans="1:1" x14ac:dyDescent="0.35">
      <c r="A144" s="67" t="s">
        <v>319</v>
      </c>
    </row>
    <row r="145" spans="1:1" x14ac:dyDescent="0.35">
      <c r="A145" s="67" t="s">
        <v>321</v>
      </c>
    </row>
    <row r="146" spans="1:1" x14ac:dyDescent="0.35">
      <c r="A146" s="67" t="s">
        <v>323</v>
      </c>
    </row>
    <row r="147" spans="1:1" x14ac:dyDescent="0.35">
      <c r="A147" s="67" t="s">
        <v>331</v>
      </c>
    </row>
    <row r="148" spans="1:1" x14ac:dyDescent="0.35">
      <c r="A148" s="67" t="s">
        <v>333</v>
      </c>
    </row>
    <row r="149" spans="1:1" x14ac:dyDescent="0.35">
      <c r="A149" s="67" t="s">
        <v>335</v>
      </c>
    </row>
    <row r="150" spans="1:1" x14ac:dyDescent="0.35">
      <c r="A150" s="67" t="s">
        <v>337</v>
      </c>
    </row>
    <row r="151" spans="1:1" x14ac:dyDescent="0.35">
      <c r="A151" s="67" t="s">
        <v>341</v>
      </c>
    </row>
    <row r="152" spans="1:1" x14ac:dyDescent="0.35">
      <c r="A152" s="67" t="s">
        <v>339</v>
      </c>
    </row>
    <row r="153" spans="1:1" x14ac:dyDescent="0.35">
      <c r="A153" s="67" t="s">
        <v>339</v>
      </c>
    </row>
    <row r="154" spans="1:1" x14ac:dyDescent="0.35">
      <c r="A154" s="67" t="s">
        <v>343</v>
      </c>
    </row>
    <row r="155" spans="1:1" x14ac:dyDescent="0.35">
      <c r="A155" s="67" t="s">
        <v>345</v>
      </c>
    </row>
    <row r="156" spans="1:1" x14ac:dyDescent="0.35">
      <c r="A156" s="67" t="s">
        <v>347</v>
      </c>
    </row>
    <row r="157" spans="1:1" x14ac:dyDescent="0.35">
      <c r="A157" s="67" t="s">
        <v>349</v>
      </c>
    </row>
    <row r="158" spans="1:1" x14ac:dyDescent="0.35">
      <c r="A158" s="67" t="s">
        <v>351</v>
      </c>
    </row>
    <row r="159" spans="1:1" x14ac:dyDescent="0.35">
      <c r="A159" s="67" t="s">
        <v>353</v>
      </c>
    </row>
    <row r="160" spans="1:1" x14ac:dyDescent="0.35">
      <c r="A160" s="67" t="s">
        <v>355</v>
      </c>
    </row>
    <row r="161" spans="1:1" x14ac:dyDescent="0.35">
      <c r="A161" s="67" t="s">
        <v>357</v>
      </c>
    </row>
    <row r="162" spans="1:1" x14ac:dyDescent="0.35">
      <c r="A162" s="67" t="s">
        <v>359</v>
      </c>
    </row>
    <row r="163" spans="1:1" x14ac:dyDescent="0.35">
      <c r="A163" s="67" t="s">
        <v>361</v>
      </c>
    </row>
    <row r="164" spans="1:1" x14ac:dyDescent="0.35">
      <c r="A164" s="67" t="s">
        <v>503</v>
      </c>
    </row>
    <row r="165" spans="1:1" x14ac:dyDescent="0.35">
      <c r="A165" s="67" t="s">
        <v>365</v>
      </c>
    </row>
    <row r="166" spans="1:1" x14ac:dyDescent="0.35">
      <c r="A166" s="67" t="s">
        <v>363</v>
      </c>
    </row>
    <row r="167" spans="1:1" x14ac:dyDescent="0.35">
      <c r="A167" s="67" t="s">
        <v>369</v>
      </c>
    </row>
    <row r="168" spans="1:1" x14ac:dyDescent="0.35">
      <c r="A168" s="67" t="s">
        <v>369</v>
      </c>
    </row>
    <row r="169" spans="1:1" x14ac:dyDescent="0.35">
      <c r="A169" s="67" t="s">
        <v>371</v>
      </c>
    </row>
    <row r="170" spans="1:1" x14ac:dyDescent="0.35">
      <c r="A170" s="67" t="s">
        <v>375</v>
      </c>
    </row>
    <row r="171" spans="1:1" x14ac:dyDescent="0.35">
      <c r="A171" s="67" t="s">
        <v>373</v>
      </c>
    </row>
    <row r="172" spans="1:1" x14ac:dyDescent="0.35">
      <c r="A172" s="67" t="s">
        <v>373</v>
      </c>
    </row>
    <row r="173" spans="1:1" x14ac:dyDescent="0.35">
      <c r="A173" s="67" t="s">
        <v>273</v>
      </c>
    </row>
    <row r="174" spans="1:1" x14ac:dyDescent="0.35">
      <c r="A174" s="67" t="s">
        <v>277</v>
      </c>
    </row>
    <row r="175" spans="1:1" x14ac:dyDescent="0.35">
      <c r="A175" s="67" t="s">
        <v>367</v>
      </c>
    </row>
  </sheetData>
  <sortState xmlns:xlrd2="http://schemas.microsoft.com/office/spreadsheetml/2017/richdata2" ref="A1:A175">
    <sortCondition ref="A1:A17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K Y D A A B Q S w M E F A A C A A g A L F w v U 1 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L F w v 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x c L 1 O c k B L k o A A A A N k A A A A T A B w A R m 9 y b X V s Y X M v U 2 V j d G l v b j E u b S C i G A A o o B Q A A A A A A A A A A A A A A A A A A A A A A A A A A A B t j T 0 L g z A Q h v d A / s O R L h Z E c B Y n 6 d o O F T q I Q 9 R r G 0 x y k k S w i P + 9 K V l 7 y w v v x 3 M e x 6 D I w j 1 p W X H G m X 9 L h x O 0 c t C y h B o 0 B s 4 g 3 s 2 p F 9 r o X L Y R d d G s z q E N D 3 L z Q D R n 5 7 2 7 S o O 1 S E v R H 1 1 D N s R K n y f A S b R q I R i l G Z S c S E T U r 4 t F 6 6 T 1 T 3 K m I b 0 a 2 3 4 W 9 F l 6 l + + 7 S G 5 E 5 h B i B A G 3 c B x n z p T 9 D 6 6 + U E s B A i 0 A F A A C A A g A L F w v U 1 B v 8 Z + k A A A A 9 Q A A A B I A A A A A A A A A A A A A A A A A A A A A A E N v b m Z p Z y 9 Q Y W N r Y W d l L n h t b F B L A Q I t A B Q A A g A I A C x c L 1 M P y u m r p A A A A O k A A A A T A A A A A A A A A A A A A A A A A P A A A A B b Q 2 9 u d G V u d F 9 U e X B l c 1 0 u e G 1 s U E s B A i 0 A F A A C A A g A L F w v U 5 y Q E u S g A A A A 2 Q A A A B M A A A A A A A A A A A A A A A A A 4 Q E A A E Z v c m 1 1 b G F z L 1 N l Y 3 R p b 2 4 x L m 1 Q S w U G A A A A A A M A A w D C A A A A z 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c A A A A A A A D a 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N z U i I C 8 + P E V u d H J 5 I F R 5 c G U 9 I k Z p b G x F c n J v c k N v Z G U i I F Z h b H V l P S J z V W 5 r b m 9 3 b i I g L z 4 8 R W 5 0 c n k g V H l w Z T 0 i R m l s b E V y c m 9 y Q 2 9 1 b n Q i I F Z h b H V l P S J s M C I g L z 4 8 R W 5 0 c n k g V H l w Z T 0 i R m l s b E x h c 3 R V c G R h d G V k I i B W Y W x 1 Z T 0 i Z D I w M j E t M D k t M T V U M D k 6 M z M 6 M D c u N j I 2 N D c z N F o i I C 8 + P E V u d H J 5 I F R 5 c G U 9 I k Z p b G x D b 2 x 1 b W 5 U e X B l c y I g V m F s d W U 9 I n N C Z z 0 9 I i A v P j x F b n R y e S B U e X B l P S J G a W x s Q 2 9 s d W 1 u T m F t Z X M i I F Z h b H V l P S J z W y Z x d W 9 0 O 0 N v b H V t b m E 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N v b H V t b m E x L D B 9 J n F 1 b 3 Q 7 X S w m c X V v d D t D b 2 x 1 b W 5 D b 3 V u d C Z x d W 9 0 O z o x L C Z x d W 9 0 O 0 t l e U N v b H V t b k 5 h b W V z J n F 1 b 3 Q 7 O l t d L C Z x d W 9 0 O 0 N v b H V t b k l k Z W 5 0 a X R p Z X M m c X V v d D s 6 W y Z x d W 9 0 O 1 N l Y 3 R p b 2 4 x L 1 R h Y m x h M S 9 U a X B v I G N h b W J p Y W R v L n t D b 2 x 1 b W 5 h M S w w f S Z x d W 9 0 O 1 0 s J n F 1 b 3 Q 7 U m V s Y X R p b 2 5 z a G l w S W 5 m b y Z x d W 9 0 O z p b X X 0 i I C 8 + P C 9 T d G F i b G V F b n R y a W V z P j w v S X R l b T 4 8 S X R l b T 4 8 S X R l b U x v Y 2 F 0 a W 9 u P j x J d G V t V H l w Z T 5 G b 3 J t d W x h P C 9 J d G V t V H l w Z T 4 8 S X R l b V B h d G g + U 2 V j d G l v b j E v V G F i b G E x L 0 9 y a W d l b j w v S X R l b V B h d G g + P C 9 J d G V t T G 9 j Y X R p b 2 4 + P F N 0 Y W J s Z U V u d H J p Z X M g L z 4 8 L 0 l 0 Z W 0 + P E l 0 Z W 0 + P E l 0 Z W 1 M b 2 N h d G l v b j 4 8 S X R l b V R 5 c G U + R m 9 y b X V s Y T w v S X R l b V R 5 c G U + P E l 0 Z W 1 Q Y X R o P l N l Y 3 R p b 2 4 x L 1 R h Y m x h M S 9 U a X B v J T I w Y 2 F t Y m l h Z G 8 8 L 0 l 0 Z W 1 Q Y X R o P j w v S X R l b U x v Y 2 F 0 a W 9 u P j x T d G F i b G V F b n R y a W V z I C 8 + P C 9 J d G V t P j w v S X R l b X M + P C 9 M b 2 N h b F B h Y 2 t h Z 2 V N Z X R h Z G F 0 Y U Z p b G U + F g A A A F B L B Q Y A A A A A A A A A A A A A A A A A A A A A A A D a A A A A A Q A A A N C M n d 8 B F d E R j H o A w E / C l + s B A A A A b Q Q T l E O R d 0 G C v V x A d l I R a Q A A A A A C A A A A A A A D Z g A A w A A A A B A A A A C i L w g 2 C V V M V c T L P p Z y Y P d + A A A A A A S A A A C g A A A A E A A A A M a 7 / q E n / / 5 H b R x n 9 g 3 + p G x Q A A A A F n Q J 6 C 7 I o / s 3 q G U J k 0 g K V 5 7 V I Z N u 7 u Q w Y r 5 p l 6 J s s 3 6 7 1 q y D i / M C V p e v A y C e 3 s N V L y c y 3 c X Q E q 2 z M x 8 m a A D W 4 e j 1 d z 5 g 1 N O y b E b h T Y V O Y z Q U A A A A R F L U s e c B 0 6 R p w 1 2 D h L j 2 m k z 5 d 8 4 = < / 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331b0959-5de7-47fc-9a68-e71529f12cab">K7H4CX7UT3ZM-1189335240-181092</_dlc_DocId>
    <_dlc_DocIdUrl xmlns="331b0959-5de7-47fc-9a68-e71529f12cab">
      <Url>https://anthesisllc.sharepoint.com/clients/_layouts/15/DocIdRedir.aspx?ID=K7H4CX7UT3ZM-1189335240-181092</Url>
      <Description>K7H4CX7UT3ZM-1189335240-181092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55ECAF8CAD77A645B32309416FA3D485" ma:contentTypeVersion="305" ma:contentTypeDescription="Create a new document." ma:contentTypeScope="" ma:versionID="177c53011b9b7162fef4fc870924418e">
  <xsd:schema xmlns:xsd="http://www.w3.org/2001/XMLSchema" xmlns:xs="http://www.w3.org/2001/XMLSchema" xmlns:p="http://schemas.microsoft.com/office/2006/metadata/properties" xmlns:ns2="331b0959-5de7-47fc-9a68-e71529f12cab" xmlns:ns3="c69a24c5-ed51-4c4a-aa9d-cc8569048548" targetNamespace="http://schemas.microsoft.com/office/2006/metadata/properties" ma:root="true" ma:fieldsID="25760dba641d64ac707c88bb3399b6e5" ns2:_="" ns3:_="">
    <xsd:import namespace="331b0959-5de7-47fc-9a68-e71529f12cab"/>
    <xsd:import namespace="c69a24c5-ed51-4c4a-aa9d-cc856904854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b0959-5de7-47fc-9a68-e71529f12c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9a24c5-ed51-4c4a-aa9d-cc85690485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58E477-AD7D-4ABF-8FAF-FF814F8DD027}">
  <ds:schemaRefs>
    <ds:schemaRef ds:uri="http://schemas.microsoft.com/DataMashup"/>
  </ds:schemaRefs>
</ds:datastoreItem>
</file>

<file path=customXml/itemProps2.xml><?xml version="1.0" encoding="utf-8"?>
<ds:datastoreItem xmlns:ds="http://schemas.openxmlformats.org/officeDocument/2006/customXml" ds:itemID="{C3F4411F-EE3E-4075-988F-BD8A3AE7B362}">
  <ds:schemaRefs>
    <ds:schemaRef ds:uri="http://schemas.microsoft.com/sharepoint/v3/contenttype/forms"/>
  </ds:schemaRefs>
</ds:datastoreItem>
</file>

<file path=customXml/itemProps3.xml><?xml version="1.0" encoding="utf-8"?>
<ds:datastoreItem xmlns:ds="http://schemas.openxmlformats.org/officeDocument/2006/customXml" ds:itemID="{FD93657B-DE35-46D1-9308-3E4387FFF2C9}">
  <ds:schemaRef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purl.org/dc/elements/1.1/"/>
    <ds:schemaRef ds:uri="c69a24c5-ed51-4c4a-aa9d-cc8569048548"/>
    <ds:schemaRef ds:uri="331b0959-5de7-47fc-9a68-e71529f12cab"/>
    <ds:schemaRef ds:uri="http://www.w3.org/XML/1998/namespace"/>
    <ds:schemaRef ds:uri="http://purl.org/dc/dcmitype/"/>
  </ds:schemaRefs>
</ds:datastoreItem>
</file>

<file path=customXml/itemProps4.xml><?xml version="1.0" encoding="utf-8"?>
<ds:datastoreItem xmlns:ds="http://schemas.openxmlformats.org/officeDocument/2006/customXml" ds:itemID="{09E13E35-5716-49C6-9406-0D48051F2974}">
  <ds:schemaRefs>
    <ds:schemaRef ds:uri="http://schemas.microsoft.com/sharepoint/events"/>
  </ds:schemaRefs>
</ds:datastoreItem>
</file>

<file path=customXml/itemProps5.xml><?xml version="1.0" encoding="utf-8"?>
<ds:datastoreItem xmlns:ds="http://schemas.openxmlformats.org/officeDocument/2006/customXml" ds:itemID="{6A3559C8-9CB3-4583-A59E-CA77DA270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b0959-5de7-47fc-9a68-e71529f12cab"/>
    <ds:schemaRef ds:uri="c69a24c5-ed51-4c4a-aa9d-cc8569048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Veh_km_IDOM</vt:lpstr>
      <vt:lpstr>SIMMB</vt:lpstr>
      <vt:lpstr>Urbans_cotxe_moto_taxi_SIMMB</vt:lpstr>
      <vt:lpstr>1b.In_XUrbana</vt:lpstr>
      <vt:lpstr>Entrada de dades</vt:lpstr>
      <vt:lpstr>Resultats</vt:lpstr>
      <vt:lpstr>Emissions</vt:lpstr>
      <vt:lpstr>Veh·km</vt:lpstr>
      <vt:lpstr>Municipis</vt:lpstr>
      <vt:lpstr>Superfície ZBE</vt:lpstr>
      <vt:lpstr>Exempcions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Sanyer</dc:creator>
  <cp:keywords/>
  <dc:description/>
  <cp:lastModifiedBy>Xavier Codina Teixidor</cp:lastModifiedBy>
  <cp:revision/>
  <dcterms:created xsi:type="dcterms:W3CDTF">2019-04-29T09:01:49Z</dcterms:created>
  <dcterms:modified xsi:type="dcterms:W3CDTF">2022-03-22T09:56:48Z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0x01010055ECAF8CAD77A645B32309416FA3D485</vt:lpwstr>
  </property>
  <property fmtid="{D5CDD505-2E9C-101B-9397-08002B2CF9AE}" pid="3" name="_dlc_DocIdItemGuid">
    <vt:lpwstr>bb3550b9-25a4-49b3-bfc1-54a3fe9f39a3</vt:lpwstr>
  </property>
</Properties>
</file>